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George - Contracts\OMSPA\Working Groups\COP Working Group\Deliverable\Final Deliverables\"/>
    </mc:Choice>
  </mc:AlternateContent>
  <xr:revisionPtr revIDLastSave="0" documentId="8_{564F0488-81AE-4EFF-8C53-074574A6C191}" xr6:coauthVersionLast="47" xr6:coauthVersionMax="47" xr10:uidLastSave="{00000000-0000-0000-0000-000000000000}"/>
  <bookViews>
    <workbookView xWindow="-28470" yWindow="585" windowWidth="28470" windowHeight="15352" activeTab="5" xr2:uid="{513823A9-5A40-4B1F-B307-A97AE88C7D7D}"/>
  </bookViews>
  <sheets>
    <sheet name="Title Page" sheetId="1" r:id="rId1"/>
    <sheet name="Sap Production" sheetId="4" r:id="rId2"/>
    <sheet name="Syrup Production" sheetId="9" r:id="rId3"/>
    <sheet name="Sales" sheetId="6" r:id="rId4"/>
    <sheet name="Capital Costs" sheetId="7" r:id="rId5"/>
    <sheet name="Income Statement" sheetId="8" r:id="rId6"/>
    <sheet name="Graphs" sheetId="11" r:id="rId7"/>
    <sheet name="Variables" sheetId="10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4" l="1"/>
  <c r="R54" i="7"/>
  <c r="P54" i="7"/>
  <c r="P55" i="7" s="1"/>
  <c r="L54" i="7"/>
  <c r="L55" i="7" s="1"/>
  <c r="H54" i="7"/>
  <c r="H55" i="7" s="1"/>
  <c r="D54" i="7"/>
  <c r="D55" i="7" s="1"/>
  <c r="R53" i="8" l="1"/>
  <c r="J53" i="8"/>
  <c r="R52" i="8"/>
  <c r="J52" i="8"/>
  <c r="R46" i="8"/>
  <c r="R45" i="8"/>
  <c r="R48" i="8" s="1"/>
  <c r="R18" i="8"/>
  <c r="T18" i="8" s="1"/>
  <c r="R27" i="8"/>
  <c r="E28" i="6"/>
  <c r="E27" i="6"/>
  <c r="T27" i="8" l="1"/>
  <c r="R29" i="8"/>
  <c r="T29" i="8" s="1"/>
  <c r="R50" i="8"/>
  <c r="R55" i="8" s="1"/>
  <c r="T55" i="8" s="1"/>
  <c r="T46" i="8"/>
  <c r="T45" i="8"/>
  <c r="T48" i="8"/>
  <c r="E38" i="4"/>
  <c r="E13" i="9" s="1"/>
  <c r="E17" i="9"/>
  <c r="E40" i="9" s="1"/>
  <c r="E5" i="4"/>
  <c r="E28" i="4" s="1"/>
  <c r="N46" i="8"/>
  <c r="N45" i="8"/>
  <c r="N27" i="8"/>
  <c r="N18" i="8"/>
  <c r="J46" i="8"/>
  <c r="J45" i="8"/>
  <c r="E36" i="4"/>
  <c r="E37" i="4" s="1"/>
  <c r="F25" i="8" s="1"/>
  <c r="E13" i="4"/>
  <c r="E12" i="4"/>
  <c r="E27" i="4"/>
  <c r="E16" i="9"/>
  <c r="E39" i="9" s="1"/>
  <c r="E20" i="9"/>
  <c r="E21" i="9"/>
  <c r="E22" i="9"/>
  <c r="E15" i="4"/>
  <c r="J27" i="8"/>
  <c r="J18" i="8"/>
  <c r="F24" i="8"/>
  <c r="F23" i="8"/>
  <c r="T50" i="8" l="1"/>
  <c r="L46" i="8"/>
  <c r="E17" i="4"/>
  <c r="N29" i="8"/>
  <c r="P29" i="8" s="1"/>
  <c r="P27" i="8"/>
  <c r="P45" i="8"/>
  <c r="P46" i="8"/>
  <c r="P18" i="8"/>
  <c r="N48" i="8"/>
  <c r="P48" i="8" s="1"/>
  <c r="J48" i="8"/>
  <c r="L48" i="8" s="1"/>
  <c r="L45" i="8"/>
  <c r="L27" i="8"/>
  <c r="L18" i="8"/>
  <c r="J29" i="8"/>
  <c r="N50" i="8" l="1"/>
  <c r="L29" i="8"/>
  <c r="J50" i="8"/>
  <c r="F35" i="8"/>
  <c r="F34" i="8"/>
  <c r="F33" i="8"/>
  <c r="F32" i="8"/>
  <c r="F45" i="8" l="1"/>
  <c r="N55" i="8"/>
  <c r="P55" i="8" s="1"/>
  <c r="P50" i="8"/>
  <c r="L50" i="8"/>
  <c r="J55" i="8"/>
  <c r="L55" i="8" s="1"/>
  <c r="F46" i="8"/>
  <c r="F27" i="7"/>
  <c r="J27" i="7"/>
  <c r="N27" i="7"/>
  <c r="F28" i="7"/>
  <c r="J28" i="7"/>
  <c r="N28" i="7"/>
  <c r="L53" i="7"/>
  <c r="N50" i="7"/>
  <c r="N49" i="7"/>
  <c r="N48" i="7"/>
  <c r="N47" i="7"/>
  <c r="N46" i="7"/>
  <c r="N43" i="7"/>
  <c r="N42" i="7"/>
  <c r="N41" i="7"/>
  <c r="N38" i="7"/>
  <c r="N35" i="7"/>
  <c r="N34" i="7"/>
  <c r="N33" i="7"/>
  <c r="N32" i="7"/>
  <c r="N31" i="7"/>
  <c r="N26" i="7"/>
  <c r="N25" i="7"/>
  <c r="N24" i="7"/>
  <c r="N23" i="7"/>
  <c r="N22" i="7"/>
  <c r="N21" i="7"/>
  <c r="N20" i="7"/>
  <c r="N19" i="7"/>
  <c r="N18" i="7"/>
  <c r="N17" i="7"/>
  <c r="N14" i="7"/>
  <c r="N13" i="7"/>
  <c r="N12" i="7"/>
  <c r="N11" i="7"/>
  <c r="N10" i="7"/>
  <c r="N9" i="7"/>
  <c r="N8" i="7"/>
  <c r="H53" i="7"/>
  <c r="J50" i="7"/>
  <c r="J49" i="7"/>
  <c r="J48" i="7"/>
  <c r="J47" i="7"/>
  <c r="J46" i="7"/>
  <c r="J43" i="7"/>
  <c r="J42" i="7"/>
  <c r="J41" i="7"/>
  <c r="J38" i="7"/>
  <c r="J35" i="7"/>
  <c r="J34" i="7"/>
  <c r="J33" i="7"/>
  <c r="J32" i="7"/>
  <c r="J31" i="7"/>
  <c r="J26" i="7"/>
  <c r="J25" i="7"/>
  <c r="J24" i="7"/>
  <c r="J23" i="7"/>
  <c r="J22" i="7"/>
  <c r="J21" i="7"/>
  <c r="J20" i="7"/>
  <c r="J19" i="7"/>
  <c r="J18" i="7"/>
  <c r="J17" i="7"/>
  <c r="J14" i="7"/>
  <c r="J13" i="7"/>
  <c r="J12" i="7"/>
  <c r="J11" i="7"/>
  <c r="J10" i="7"/>
  <c r="J9" i="7"/>
  <c r="J8" i="7"/>
  <c r="F47" i="7"/>
  <c r="F48" i="7"/>
  <c r="F26" i="7"/>
  <c r="E23" i="9"/>
  <c r="F52" i="8"/>
  <c r="F47" i="8"/>
  <c r="J54" i="7" l="1"/>
  <c r="N54" i="7"/>
  <c r="N53" i="7"/>
  <c r="F48" i="8"/>
  <c r="J53" i="7"/>
  <c r="D53" i="7" l="1"/>
  <c r="F9" i="7"/>
  <c r="F10" i="7"/>
  <c r="F11" i="7"/>
  <c r="F12" i="7"/>
  <c r="F13" i="7"/>
  <c r="F14" i="7"/>
  <c r="F17" i="7"/>
  <c r="F18" i="7"/>
  <c r="F19" i="7"/>
  <c r="F20" i="7"/>
  <c r="F21" i="7"/>
  <c r="F22" i="7"/>
  <c r="F23" i="7"/>
  <c r="F24" i="7"/>
  <c r="F25" i="7"/>
  <c r="F31" i="7"/>
  <c r="F32" i="7"/>
  <c r="F33" i="7"/>
  <c r="F34" i="7"/>
  <c r="F35" i="7"/>
  <c r="F38" i="7"/>
  <c r="F41" i="7"/>
  <c r="F42" i="7"/>
  <c r="F43" i="7"/>
  <c r="F46" i="7"/>
  <c r="F49" i="7"/>
  <c r="F50" i="7"/>
  <c r="F8" i="7"/>
  <c r="F54" i="7" l="1"/>
  <c r="F53" i="7"/>
  <c r="F53" i="8" s="1"/>
  <c r="E18" i="4"/>
  <c r="E12" i="9" s="1"/>
  <c r="E14" i="9" s="1"/>
  <c r="E11" i="9"/>
  <c r="F22" i="8" l="1"/>
  <c r="F21" i="8"/>
  <c r="E6" i="6"/>
  <c r="F15" i="8" s="1"/>
  <c r="E10" i="6"/>
  <c r="F16" i="8" s="1"/>
  <c r="H8" i="8"/>
  <c r="E14" i="6"/>
  <c r="F17" i="8" s="1"/>
  <c r="F26" i="8"/>
  <c r="E10" i="9"/>
  <c r="F18" i="8" l="1"/>
  <c r="H48" i="8" s="1"/>
  <c r="F27" i="8"/>
  <c r="H18" i="8" l="1"/>
  <c r="H46" i="8"/>
  <c r="H45" i="8"/>
  <c r="H27" i="8"/>
  <c r="F29" i="8"/>
  <c r="H29" i="8" l="1"/>
  <c r="F50" i="8"/>
  <c r="H50" i="8" l="1"/>
  <c r="F55" i="8"/>
  <c r="H55" i="8" s="1"/>
</calcChain>
</file>

<file path=xl/sharedStrings.xml><?xml version="1.0" encoding="utf-8"?>
<sst xmlns="http://schemas.openxmlformats.org/spreadsheetml/2006/main" count="433" uniqueCount="307">
  <si>
    <t>Region</t>
  </si>
  <si>
    <t>General</t>
  </si>
  <si>
    <t xml:space="preserve">collection method </t>
  </si>
  <si>
    <t>Tapping</t>
  </si>
  <si>
    <t>property taxes</t>
  </si>
  <si>
    <t>other costs</t>
  </si>
  <si>
    <t>Amt Sap produced</t>
  </si>
  <si>
    <t>bulk</t>
  </si>
  <si>
    <t>wholesale</t>
  </si>
  <si>
    <t>retail</t>
  </si>
  <si>
    <t>Amt sap purchased</t>
  </si>
  <si>
    <t>% of output</t>
  </si>
  <si>
    <t>Retail</t>
  </si>
  <si>
    <t>Output</t>
  </si>
  <si>
    <t>Direct sales costs</t>
  </si>
  <si>
    <t>Transportation/storage</t>
  </si>
  <si>
    <t>Wholesale</t>
  </si>
  <si>
    <t>invoicing, collection</t>
  </si>
  <si>
    <t>Bulk</t>
  </si>
  <si>
    <t>variable costs</t>
  </si>
  <si>
    <t>Fixed costs</t>
  </si>
  <si>
    <t>Revenue</t>
  </si>
  <si>
    <t>Cost of Goods Sold</t>
  </si>
  <si>
    <t>Overhead</t>
  </si>
  <si>
    <t>advertising</t>
  </si>
  <si>
    <t>licenses/permits</t>
  </si>
  <si>
    <t>Legal and accounting</t>
  </si>
  <si>
    <t>Insurance</t>
  </si>
  <si>
    <t>Property taxes</t>
  </si>
  <si>
    <t>Evaporator</t>
  </si>
  <si>
    <t>RO</t>
  </si>
  <si>
    <t>Labour rates - outside labour</t>
  </si>
  <si>
    <t>Purchased</t>
  </si>
  <si>
    <t>Instructions</t>
  </si>
  <si>
    <t>pre season</t>
  </si>
  <si>
    <t>Cost</t>
  </si>
  <si>
    <t>Expense detail</t>
  </si>
  <si>
    <t>Variable</t>
  </si>
  <si>
    <t>Notes</t>
  </si>
  <si>
    <t>General Info</t>
  </si>
  <si>
    <t>Expenses</t>
  </si>
  <si>
    <t>Category</t>
  </si>
  <si>
    <t>Drills, hand tools</t>
  </si>
  <si>
    <t>taps, tubing - collection</t>
  </si>
  <si>
    <t>tubing - transport</t>
  </si>
  <si>
    <t>Vacuum pumps</t>
  </si>
  <si>
    <t>Vehicles</t>
  </si>
  <si>
    <t>Transfer pumps</t>
  </si>
  <si>
    <t>Sap and concentrate tanks</t>
  </si>
  <si>
    <t>Reverse Osmosis Machine</t>
  </si>
  <si>
    <t>Evaporator - commercial scale</t>
  </si>
  <si>
    <t>Pan washer</t>
  </si>
  <si>
    <t>syrup refractometer</t>
  </si>
  <si>
    <t>Handling and processing</t>
  </si>
  <si>
    <t>Automatic draw off</t>
  </si>
  <si>
    <t>skimmers/dippers, misc equip</t>
  </si>
  <si>
    <t>Filtering and Packaging</t>
  </si>
  <si>
    <t>Filter</t>
  </si>
  <si>
    <t>Small Filter press</t>
  </si>
  <si>
    <t>Larger filter press</t>
  </si>
  <si>
    <t>Storage</t>
  </si>
  <si>
    <t>Freezers/refridgerators</t>
  </si>
  <si>
    <t>Sales/Marketing</t>
  </si>
  <si>
    <t>Signage/displays</t>
  </si>
  <si>
    <t>Table tops/stands</t>
  </si>
  <si>
    <t>Other</t>
  </si>
  <si>
    <t>Sugar Camp</t>
  </si>
  <si>
    <t>Building</t>
  </si>
  <si>
    <t>Roads,parking, excavation</t>
  </si>
  <si>
    <t>Water source</t>
  </si>
  <si>
    <t>Electrical Service</t>
  </si>
  <si>
    <t>Land purchase</t>
  </si>
  <si>
    <t>n/a</t>
  </si>
  <si>
    <t>Total Cost of Goods Sold</t>
  </si>
  <si>
    <t>Gross Margin</t>
  </si>
  <si>
    <t>Total Revenues</t>
  </si>
  <si>
    <t>Total Overhead costs</t>
  </si>
  <si>
    <t>EBITDA</t>
  </si>
  <si>
    <t>Depreciation Costs</t>
  </si>
  <si>
    <t>Net Income before taxes</t>
  </si>
  <si>
    <t>Interest/Carrying  Costs</t>
  </si>
  <si>
    <t>Cashflow</t>
  </si>
  <si>
    <t>Profit</t>
  </si>
  <si>
    <t>all equipment and building</t>
  </si>
  <si>
    <t>Equipment</t>
  </si>
  <si>
    <t>Labour</t>
  </si>
  <si>
    <t>Financing</t>
  </si>
  <si>
    <t>Sales</t>
  </si>
  <si>
    <t>Tap rental</t>
  </si>
  <si>
    <t>Total taps</t>
  </si>
  <si>
    <t>Land Mortgage</t>
  </si>
  <si>
    <t>Building/Equipment Mortgage</t>
  </si>
  <si>
    <t>Syrup produced - owned/rented</t>
  </si>
  <si>
    <t>Syrup produced - purchased sap</t>
  </si>
  <si>
    <t>Total Syrup Produced</t>
  </si>
  <si>
    <t>Depr Term</t>
  </si>
  <si>
    <t>Expense</t>
  </si>
  <si>
    <t>Details</t>
  </si>
  <si>
    <t>Y</t>
  </si>
  <si>
    <t>N</t>
  </si>
  <si>
    <t>Include Depreciation?</t>
  </si>
  <si>
    <t>Eastern</t>
  </si>
  <si>
    <t>Northern</t>
  </si>
  <si>
    <t>Southwestern</t>
  </si>
  <si>
    <t>3/16" Gravity</t>
  </si>
  <si>
    <t>5/16" vacuum</t>
  </si>
  <si>
    <t>Yield Calculations</t>
  </si>
  <si>
    <t>0.873 kg/ltr</t>
  </si>
  <si>
    <t>0.0100 kg/ltr</t>
  </si>
  <si>
    <t>66.0 brix syrup sugar content</t>
  </si>
  <si>
    <t>1.0 brix sap sugar content</t>
  </si>
  <si>
    <t xml:space="preserve">Sap (liters) </t>
  </si>
  <si>
    <t>Example</t>
  </si>
  <si>
    <t>1000 taps</t>
  </si>
  <si>
    <t>0.9 liters syrup/tap</t>
  </si>
  <si>
    <t>2.0 ave sap brix</t>
  </si>
  <si>
    <t>Syrup yield/tap</t>
  </si>
  <si>
    <t>Average Sap brix</t>
  </si>
  <si>
    <t>Amt Syrup produced</t>
  </si>
  <si>
    <t>Cost is added to income statement</t>
  </si>
  <si>
    <t>Labour Assumptions</t>
  </si>
  <si>
    <t>Assume 16 boiling days/season</t>
  </si>
  <si>
    <t>Labour costs - Owner</t>
  </si>
  <si>
    <t>Labour costs - Outside</t>
  </si>
  <si>
    <t>Include Carrying costs?</t>
  </si>
  <si>
    <t>From Sap tab</t>
  </si>
  <si>
    <t>Total Sap Processed</t>
  </si>
  <si>
    <t>For reference</t>
  </si>
  <si>
    <t>Size - for reference only</t>
  </si>
  <si>
    <t>heating type - wood,gas,propane for reference only</t>
  </si>
  <si>
    <t>Size - L/hr For reference only</t>
  </si>
  <si>
    <t>Max concentration output - brix for reference only</t>
  </si>
  <si>
    <t>Total for all units sold</t>
  </si>
  <si>
    <t>ave rev $/liter</t>
  </si>
  <si>
    <t>$ per hr, assumes 7.5hrs/day. 18% benefits added automatically to outside labour  totals</t>
  </si>
  <si>
    <t>Owned/rented</t>
  </si>
  <si>
    <t>outputs should total 100%</t>
  </si>
  <si>
    <t>Expense type</t>
  </si>
  <si>
    <t>Evaporator small</t>
  </si>
  <si>
    <t>Evaporator large</t>
  </si>
  <si>
    <t>Selection Lists</t>
  </si>
  <si>
    <t>Build Up Model</t>
  </si>
  <si>
    <t>Depr</t>
  </si>
  <si>
    <t>Building fit up</t>
  </si>
  <si>
    <t>All Lg Producer equipment</t>
  </si>
  <si>
    <t>67.0 brix syrup sugar content</t>
  </si>
  <si>
    <t>0.905 kg/ltr</t>
  </si>
  <si>
    <t>Labour rates - owner labour</t>
  </si>
  <si>
    <t>Owned/Rented</t>
  </si>
  <si>
    <t>(number rented)</t>
  </si>
  <si>
    <t>Labour - Outside</t>
  </si>
  <si>
    <t>Labour - Owner</t>
  </si>
  <si>
    <t>Tap repairs/supplies</t>
  </si>
  <si>
    <t>fuel/transport costs</t>
  </si>
  <si>
    <t>Total number of taps</t>
  </si>
  <si>
    <t>Bottling Costs - Wholesale</t>
  </si>
  <si>
    <t>Bottling Costs - Retail</t>
  </si>
  <si>
    <t>Electricity + Fuel</t>
  </si>
  <si>
    <t>Production Repair + Maintenance</t>
  </si>
  <si>
    <t>per liter of syrup produced</t>
  </si>
  <si>
    <t>Other costs</t>
  </si>
  <si>
    <t>Fuel/transport costs</t>
  </si>
  <si>
    <t>Tap Rental</t>
  </si>
  <si>
    <t>Fuel/Electricity</t>
  </si>
  <si>
    <t>Production Repairs/supplies</t>
  </si>
  <si>
    <t>Wholesale bottling supplies</t>
  </si>
  <si>
    <t>Retail bottling supplies</t>
  </si>
  <si>
    <t>Purchased Sap</t>
  </si>
  <si>
    <t>bank charges</t>
  </si>
  <si>
    <t>meals/entertainment</t>
  </si>
  <si>
    <t>Telephone/home office</t>
  </si>
  <si>
    <t>office/General admin</t>
  </si>
  <si>
    <t>Travel</t>
  </si>
  <si>
    <t>Owner's Labour</t>
  </si>
  <si>
    <t>Outside Labour</t>
  </si>
  <si>
    <t>Include Owner's Labour?</t>
  </si>
  <si>
    <t>Include Outside Labour?</t>
  </si>
  <si>
    <t>Shipping/Freight</t>
  </si>
  <si>
    <t>Direct Sales costs</t>
  </si>
  <si>
    <t>Build Up</t>
  </si>
  <si>
    <t>Yield</t>
  </si>
  <si>
    <t>Syrup Produced</t>
  </si>
  <si>
    <t>Taps</t>
  </si>
  <si>
    <t>Medium Operation</t>
  </si>
  <si>
    <t>Sap produced, based on a set yield/tap (Y), sap brix (S) and 67 brix syrup (.905 kg/ltr)</t>
  </si>
  <si>
    <t>taps * Y * (90.5/S)</t>
  </si>
  <si>
    <t>1000*0.9*0.905/0.02</t>
  </si>
  <si>
    <t>40,725 liters of sap from 1000 taps to produce 900 liters of syrup</t>
  </si>
  <si>
    <t>calculated backwards from Yield/tap and average sap brix</t>
  </si>
  <si>
    <t>per liter of syrup produced- containers, bottling fuel, supplies</t>
  </si>
  <si>
    <t>% Retail</t>
  </si>
  <si>
    <t>% Wholesale</t>
  </si>
  <si>
    <t>% Bulk</t>
  </si>
  <si>
    <t>Total Taps</t>
  </si>
  <si>
    <t>(Rented)</t>
  </si>
  <si>
    <t>Cost per liter</t>
  </si>
  <si>
    <t>Cost of Sap</t>
  </si>
  <si>
    <t>calculated from brix and bulk syrup price</t>
  </si>
  <si>
    <t>Labour (Outside)</t>
  </si>
  <si>
    <t>Labour (Owner)</t>
  </si>
  <si>
    <t>Outside ($/hr)</t>
  </si>
  <si>
    <t>Owner ($/hr)</t>
  </si>
  <si>
    <t>Revenue Detail</t>
  </si>
  <si>
    <t>Product Detail</t>
  </si>
  <si>
    <t>US Gal</t>
  </si>
  <si>
    <t>liters (67 brix)</t>
  </si>
  <si>
    <t>Liter syrup</t>
  </si>
  <si>
    <t>lbs syrup</t>
  </si>
  <si>
    <t>lbs (67 brix)</t>
  </si>
  <si>
    <t>Production Assumptions &amp; Conversions</t>
  </si>
  <si>
    <t>Total Labour in person-months: 20 days/month</t>
  </si>
  <si>
    <t>annual, if owned, interest only, split with Sap Production if required</t>
  </si>
  <si>
    <t>Carrying Costs</t>
  </si>
  <si>
    <t>Depreciation</t>
  </si>
  <si>
    <t>Monitoring</t>
  </si>
  <si>
    <t>bottler &amp; associated</t>
  </si>
  <si>
    <t>Total</t>
  </si>
  <si>
    <t>38,000 taps</t>
  </si>
  <si>
    <t>6000 taps</t>
  </si>
  <si>
    <t>1400 taps</t>
  </si>
  <si>
    <t>Cost per tap</t>
  </si>
  <si>
    <t>Select Representative Samples</t>
  </si>
  <si>
    <t>Large Producer</t>
  </si>
  <si>
    <t>Medium Producer</t>
  </si>
  <si>
    <t>Small Producer</t>
  </si>
  <si>
    <t>Total - Production only (net sugar camp)</t>
  </si>
  <si>
    <t>Enter actual/projected costs for each line where applicable</t>
  </si>
  <si>
    <t>Select  sample data provided by working sugar camps</t>
  </si>
  <si>
    <t>Inclusions to statements (all)</t>
  </si>
  <si>
    <t>20,000 taps</t>
  </si>
  <si>
    <t>75,000 taps</t>
  </si>
  <si>
    <t>Model Results</t>
  </si>
  <si>
    <t>Net Income</t>
  </si>
  <si>
    <t>Results are generated from the Large Producer model data</t>
  </si>
  <si>
    <t>Variable Cost inputs were adjusted to reflect impact of tap/yield changes</t>
  </si>
  <si>
    <t>OMSPA Cost of Production Model</t>
  </si>
  <si>
    <t>This model is designed to give first level insight into the cost of producing maple syrup in Onatario</t>
  </si>
  <si>
    <t xml:space="preserve">Specifically, its aim is to highlight the impact of key factors on the financial viability of maple syrup operations. </t>
  </si>
  <si>
    <t>The model uses a "build up" approach that has been streamlined by minimizing the number of input variables</t>
  </si>
  <si>
    <t>The outputs of this model are by no means "definitive". The range of factors across operations is too wide to allow that</t>
  </si>
  <si>
    <t>Users should also consult the accompanying report for more information and guidance on interpreting results from this model</t>
  </si>
  <si>
    <t>The objective is to enter data that will in turn drive the Income Statement, the key output of the model</t>
  </si>
  <si>
    <t>Cells highlihghted in Green are for data entry</t>
  </si>
  <si>
    <t>Cells highlihghted in Blue are links or formulas - do not change these</t>
  </si>
  <si>
    <t xml:space="preserve">It is a good idea to first save the spreadsheet under a different name before doing any data entry. </t>
  </si>
  <si>
    <t>The guidance below is arranged to follow the key input tabs.</t>
  </si>
  <si>
    <t>Sap Production</t>
  </si>
  <si>
    <t>This tab deals with the costs of getting sap to the sugar camp -whether tapped or purchased elsewhere.</t>
  </si>
  <si>
    <t>in season - to cover tapping and/or shipping sap to the sugar camp</t>
  </si>
  <si>
    <t>Costs should reflect the tapping component of the operation</t>
  </si>
  <si>
    <t>Labour includes off season maintenance, tapping, repairs, and end of season cleaning</t>
  </si>
  <si>
    <t>Purchased sap is different from rented taps. Purchased sap is tapped (and costs covered) by someone else</t>
  </si>
  <si>
    <t>Syrup Production</t>
  </si>
  <si>
    <t>For reference only</t>
  </si>
  <si>
    <t>May differ from brix of purchased sap identified below</t>
  </si>
  <si>
    <t>if rented, per tap</t>
  </si>
  <si>
    <t>annual, if owned, split with production if applicable</t>
  </si>
  <si>
    <t>annual, if owned, interest only, also split with production</t>
  </si>
  <si>
    <t>Total, annual liters</t>
  </si>
  <si>
    <t>Brix of purchased sap</t>
  </si>
  <si>
    <t>Main inputs here are bottling costs, evaporator and production fuel, and maintenance and repair</t>
  </si>
  <si>
    <t>Labour is the cost of running production and bottling in season, and pre/post season maintenance</t>
  </si>
  <si>
    <t>Bulk bottling operating costs are assumed to be minimal, predominated by the capital cost of barrels</t>
  </si>
  <si>
    <t/>
  </si>
  <si>
    <t>Other costs' is user defined. Use this cell as you wish</t>
  </si>
  <si>
    <t>Labour is entred in 'person-months' of time for each activity, separated between hired (outside) labour and owner time</t>
  </si>
  <si>
    <t>From Income statement</t>
  </si>
  <si>
    <t>Transportation and sales costs are 'post production', incurred to support sales and delivery</t>
  </si>
  <si>
    <t>Capital Costs</t>
  </si>
  <si>
    <t>Consider this a 'free form' section</t>
  </si>
  <si>
    <t>Enter costs as you have them itemized. Key is to separate items with different life spans (for depreciation terms)</t>
  </si>
  <si>
    <t>For each item, enter the cost and the depreciation term (in years)</t>
  </si>
  <si>
    <t>The representative samples show different ways of entering data. The key is how they total up</t>
  </si>
  <si>
    <t>Incme Statement</t>
  </si>
  <si>
    <t>This is the main output of the model</t>
  </si>
  <si>
    <t>The two  representative samples are for information only</t>
  </si>
  <si>
    <t>Total taps under production</t>
  </si>
  <si>
    <t>The portion of those taps that are rented</t>
  </si>
  <si>
    <t>The percentage splits of sales (the model will show red if the totals are not equal 100%)</t>
  </si>
  <si>
    <t>Labour rates</t>
  </si>
  <si>
    <t>The various overhead charges</t>
  </si>
  <si>
    <t>The model will show the results in dollars and percentages</t>
  </si>
  <si>
    <t>The expected yield of the sugar bush</t>
  </si>
  <si>
    <t>Users can explore the impact of carrying charges, depreciation and labour on the model's outputs</t>
  </si>
  <si>
    <t>Select whether to include those costs or not in the results using the drop down entries</t>
  </si>
  <si>
    <t>To complete the model, enter in  the 'Build Up' column (again - use only the green cells):</t>
  </si>
  <si>
    <t>The percentage and absolute results will change accordingly</t>
  </si>
  <si>
    <t>Graphs</t>
  </si>
  <si>
    <t>These two graphs are provided soley to highlight the impact of key variables on operation profitability</t>
  </si>
  <si>
    <t>See the accompanying report for more detailed discussion of these results</t>
  </si>
  <si>
    <t>The model also includes a number of representative samples to allow users to compare their results against</t>
  </si>
  <si>
    <t>Instead, users should view the model as a way to compare the impact of changing factors on the specific scenario they are investigating</t>
  </si>
  <si>
    <t>Instruments and other</t>
  </si>
  <si>
    <t>grading kit and other</t>
  </si>
  <si>
    <t>Blue cells and headings are not password protected. Experienced Excel users can modify themwith care</t>
  </si>
  <si>
    <t>Average of all retail products</t>
  </si>
  <si>
    <t>Enter the revenue per liter of each format (retail, wholesale, bulk)</t>
  </si>
  <si>
    <t>For retail, use a price per liter that reflects the averaged price of all formats</t>
  </si>
  <si>
    <t>1500 taps</t>
  </si>
  <si>
    <t>3000 taps</t>
  </si>
  <si>
    <t>4500 taps</t>
  </si>
  <si>
    <t>Sales mix adjusted to maximize retail at 2000 liters for each scenario</t>
  </si>
  <si>
    <t>Net Income is shown after allowing for labour above</t>
  </si>
  <si>
    <t>ie/ a 1500 tap operation at yield of 1.2 would still put $19,000 in the owner's pocket</t>
  </si>
  <si>
    <t>ie/ 1500 tap revenue growth tails off as wholesale comes to predominate the sales mix</t>
  </si>
  <si>
    <t>ie/ larger operations don't show the same effect because they start with a lower retail %'age</t>
  </si>
  <si>
    <t>Representative Scenarios For Comparison Purposes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</si>
</sst>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0.0"/>
    <numFmt numFmtId="167" formatCode="&quot;$&quot;#,##0.00"/>
    <numFmt numFmtId="168" formatCode="&quot;$&quot;#,##0"/>
    <numFmt numFmtId="169" formatCode="_-* #,##0_-;\-* #,##0_-;_-* &quot;-&quot;??_-;_-@_-"/>
    <numFmt numFmtId="170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9">
    <xf numFmtId="0" fontId="0" fillId="0" borderId="0" xfId="0"/>
    <xf numFmtId="0" fontId="0" fillId="2" borderId="0" xfId="0" applyFill="1"/>
    <xf numFmtId="0" fontId="3" fillId="0" borderId="0" xfId="0" applyFont="1"/>
    <xf numFmtId="0" fontId="2" fillId="0" borderId="0" xfId="0" applyFont="1"/>
    <xf numFmtId="0" fontId="2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0" fontId="2" fillId="0" borderId="3" xfId="0" applyFont="1" applyBorder="1"/>
    <xf numFmtId="0" fontId="0" fillId="0" borderId="0" xfId="0" applyBorder="1"/>
    <xf numFmtId="0" fontId="0" fillId="2" borderId="0" xfId="0" applyFill="1" applyBorder="1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165" fontId="0" fillId="0" borderId="0" xfId="1" applyNumberFormat="1" applyFont="1" applyAlignment="1">
      <alignment horizontal="center"/>
    </xf>
    <xf numFmtId="0" fontId="0" fillId="0" borderId="0" xfId="0" applyAlignment="1"/>
    <xf numFmtId="0" fontId="0" fillId="2" borderId="0" xfId="0" applyFill="1" applyAlignment="1"/>
    <xf numFmtId="1" fontId="0" fillId="4" borderId="0" xfId="0" applyNumberFormat="1" applyFill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9" fontId="0" fillId="4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/>
    </xf>
    <xf numFmtId="0" fontId="0" fillId="0" borderId="4" xfId="0" applyBorder="1" applyAlignment="1"/>
    <xf numFmtId="0" fontId="0" fillId="0" borderId="0" xfId="0" applyFill="1"/>
    <xf numFmtId="0" fontId="2" fillId="0" borderId="0" xfId="0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5" fontId="0" fillId="4" borderId="8" xfId="1" applyNumberFormat="1" applyFont="1" applyFill="1" applyBorder="1"/>
    <xf numFmtId="165" fontId="0" fillId="4" borderId="10" xfId="1" applyNumberFormat="1" applyFont="1" applyFill="1" applyBorder="1"/>
    <xf numFmtId="165" fontId="2" fillId="4" borderId="11" xfId="1" applyNumberFormat="1" applyFont="1" applyFill="1" applyBorder="1"/>
    <xf numFmtId="9" fontId="0" fillId="0" borderId="9" xfId="2" applyFont="1" applyBorder="1"/>
    <xf numFmtId="165" fontId="0" fillId="0" borderId="8" xfId="1" applyNumberFormat="1" applyFont="1" applyBorder="1"/>
    <xf numFmtId="165" fontId="2" fillId="4" borderId="12" xfId="1" applyNumberFormat="1" applyFont="1" applyFill="1" applyBorder="1"/>
    <xf numFmtId="0" fontId="2" fillId="0" borderId="8" xfId="0" applyFont="1" applyFill="1" applyBorder="1"/>
    <xf numFmtId="165" fontId="0" fillId="0" borderId="8" xfId="1" applyNumberFormat="1" applyFont="1" applyFill="1" applyBorder="1"/>
    <xf numFmtId="0" fontId="0" fillId="0" borderId="8" xfId="0" applyFill="1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69" fontId="0" fillId="4" borderId="0" xfId="3" applyNumberFormat="1" applyFont="1" applyFill="1" applyAlignment="1"/>
    <xf numFmtId="9" fontId="0" fillId="4" borderId="0" xfId="2" applyFont="1" applyFill="1" applyAlignment="1">
      <alignment horizontal="center"/>
    </xf>
    <xf numFmtId="9" fontId="0" fillId="4" borderId="1" xfId="2" applyFont="1" applyFill="1" applyBorder="1" applyAlignment="1">
      <alignment horizontal="center"/>
    </xf>
    <xf numFmtId="167" fontId="0" fillId="4" borderId="0" xfId="1" applyNumberFormat="1" applyFont="1" applyFill="1" applyAlignment="1">
      <alignment horizontal="center"/>
    </xf>
    <xf numFmtId="3" fontId="0" fillId="4" borderId="9" xfId="0" applyNumberFormat="1" applyFill="1" applyBorder="1"/>
    <xf numFmtId="168" fontId="0" fillId="4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7" fontId="0" fillId="2" borderId="0" xfId="0" applyNumberFormat="1" applyFill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4" fontId="0" fillId="0" borderId="9" xfId="1" applyFont="1" applyFill="1" applyBorder="1"/>
    <xf numFmtId="3" fontId="0" fillId="4" borderId="7" xfId="0" applyNumberFormat="1" applyFill="1" applyBorder="1"/>
    <xf numFmtId="0" fontId="0" fillId="4" borderId="9" xfId="0" applyFill="1" applyBorder="1"/>
    <xf numFmtId="165" fontId="0" fillId="4" borderId="9" xfId="1" applyNumberFormat="1" applyFont="1" applyFill="1" applyBorder="1"/>
    <xf numFmtId="167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168" fontId="0" fillId="4" borderId="8" xfId="1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68" fontId="0" fillId="4" borderId="0" xfId="1" applyNumberFormat="1" applyFont="1" applyFill="1" applyBorder="1" applyAlignment="1">
      <alignment horizontal="center"/>
    </xf>
    <xf numFmtId="168" fontId="0" fillId="4" borderId="9" xfId="1" applyNumberFormat="1" applyFont="1" applyFill="1" applyBorder="1" applyAlignment="1">
      <alignment horizontal="center"/>
    </xf>
    <xf numFmtId="168" fontId="0" fillId="0" borderId="8" xfId="1" applyNumberFormat="1" applyFont="1" applyBorder="1" applyAlignment="1">
      <alignment horizontal="center"/>
    </xf>
    <xf numFmtId="168" fontId="0" fillId="0" borderId="0" xfId="1" applyNumberFormat="1" applyFont="1" applyBorder="1" applyAlignment="1">
      <alignment horizontal="center"/>
    </xf>
    <xf numFmtId="168" fontId="0" fillId="0" borderId="9" xfId="1" applyNumberFormat="1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0" fillId="0" borderId="9" xfId="0" applyNumberFormat="1" applyBorder="1" applyAlignment="1">
      <alignment horizontal="center"/>
    </xf>
    <xf numFmtId="168" fontId="0" fillId="4" borderId="8" xfId="0" applyNumberFormat="1" applyFill="1" applyBorder="1" applyAlignment="1">
      <alignment horizontal="center"/>
    </xf>
    <xf numFmtId="168" fontId="0" fillId="4" borderId="0" xfId="0" applyNumberFormat="1" applyFill="1" applyBorder="1" applyAlignment="1">
      <alignment horizontal="center"/>
    </xf>
    <xf numFmtId="168" fontId="0" fillId="4" borderId="9" xfId="0" applyNumberFormat="1" applyFill="1" applyBorder="1" applyAlignment="1">
      <alignment horizontal="center"/>
    </xf>
    <xf numFmtId="167" fontId="0" fillId="4" borderId="14" xfId="0" applyNumberFormat="1" applyFill="1" applyBorder="1" applyAlignment="1">
      <alignment horizontal="center"/>
    </xf>
    <xf numFmtId="0" fontId="0" fillId="0" borderId="4" xfId="0" applyFill="1" applyBorder="1"/>
    <xf numFmtId="167" fontId="0" fillId="4" borderId="4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4" xfId="0" applyFont="1" applyBorder="1"/>
    <xf numFmtId="3" fontId="0" fillId="4" borderId="0" xfId="0" applyNumberFormat="1" applyFill="1" applyBorder="1"/>
    <xf numFmtId="3" fontId="0" fillId="3" borderId="0" xfId="0" applyNumberFormat="1" applyFill="1" applyBorder="1"/>
    <xf numFmtId="0" fontId="0" fillId="4" borderId="0" xfId="0" applyFill="1" applyBorder="1"/>
    <xf numFmtId="0" fontId="0" fillId="3" borderId="0" xfId="0" applyFill="1" applyBorder="1"/>
    <xf numFmtId="165" fontId="0" fillId="4" borderId="0" xfId="1" applyNumberFormat="1" applyFont="1" applyFill="1" applyBorder="1"/>
    <xf numFmtId="165" fontId="0" fillId="3" borderId="0" xfId="1" applyNumberFormat="1" applyFont="1" applyFill="1" applyBorder="1"/>
    <xf numFmtId="165" fontId="2" fillId="4" borderId="0" xfId="1" applyNumberFormat="1" applyFont="1" applyFill="1" applyBorder="1"/>
    <xf numFmtId="9" fontId="0" fillId="0" borderId="0" xfId="2" applyFont="1" applyBorder="1"/>
    <xf numFmtId="165" fontId="0" fillId="0" borderId="0" xfId="1" applyNumberFormat="1" applyFont="1" applyFill="1" applyBorder="1"/>
    <xf numFmtId="165" fontId="0" fillId="0" borderId="0" xfId="1" applyNumberFormat="1" applyFont="1" applyBorder="1"/>
    <xf numFmtId="0" fontId="0" fillId="0" borderId="14" xfId="0" applyBorder="1"/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0" fillId="4" borderId="6" xfId="0" applyNumberFormat="1" applyFill="1" applyBorder="1"/>
    <xf numFmtId="3" fontId="0" fillId="3" borderId="6" xfId="0" applyNumberFormat="1" applyFill="1" applyBorder="1"/>
    <xf numFmtId="9" fontId="0" fillId="0" borderId="4" xfId="2" applyFont="1" applyBorder="1"/>
    <xf numFmtId="165" fontId="2" fillId="4" borderId="4" xfId="1" applyNumberFormat="1" applyFont="1" applyFill="1" applyBorder="1"/>
    <xf numFmtId="0" fontId="0" fillId="0" borderId="3" xfId="0" applyBorder="1"/>
    <xf numFmtId="9" fontId="0" fillId="0" borderId="3" xfId="2" applyFont="1" applyBorder="1"/>
    <xf numFmtId="165" fontId="2" fillId="4" borderId="3" xfId="1" applyNumberFormat="1" applyFont="1" applyFill="1" applyBorder="1"/>
    <xf numFmtId="9" fontId="0" fillId="0" borderId="18" xfId="2" applyFont="1" applyBorder="1"/>
    <xf numFmtId="9" fontId="0" fillId="0" borderId="2" xfId="2" applyFont="1" applyBorder="1"/>
    <xf numFmtId="165" fontId="2" fillId="4" borderId="2" xfId="1" applyNumberFormat="1" applyFont="1" applyFill="1" applyBorder="1"/>
    <xf numFmtId="9" fontId="0" fillId="0" borderId="19" xfId="2" applyFont="1" applyBorder="1"/>
    <xf numFmtId="0" fontId="0" fillId="0" borderId="2" xfId="0" applyFill="1" applyBorder="1"/>
    <xf numFmtId="1" fontId="0" fillId="4" borderId="0" xfId="3" applyNumberFormat="1" applyFont="1" applyFill="1" applyAlignment="1">
      <alignment horizontal="center"/>
    </xf>
    <xf numFmtId="170" fontId="0" fillId="0" borderId="19" xfId="2" applyNumberFormat="1" applyFont="1" applyBorder="1"/>
    <xf numFmtId="170" fontId="0" fillId="0" borderId="2" xfId="2" applyNumberFormat="1" applyFont="1" applyBorder="1"/>
    <xf numFmtId="165" fontId="0" fillId="0" borderId="0" xfId="0" applyNumberFormat="1" applyFill="1" applyBorder="1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Protection="1">
      <protection locked="0"/>
    </xf>
    <xf numFmtId="166" fontId="0" fillId="3" borderId="0" xfId="0" applyNumberFormat="1" applyFill="1" applyAlignment="1" applyProtection="1">
      <alignment horizontal="center"/>
      <protection locked="0"/>
    </xf>
    <xf numFmtId="168" fontId="0" fillId="3" borderId="0" xfId="1" applyNumberFormat="1" applyFont="1" applyFill="1" applyAlignment="1" applyProtection="1">
      <alignment horizontal="center"/>
      <protection locked="0"/>
    </xf>
    <xf numFmtId="168" fontId="0" fillId="0" borderId="0" xfId="0" applyNumberFormat="1" applyProtection="1">
      <protection locked="0"/>
    </xf>
    <xf numFmtId="167" fontId="0" fillId="3" borderId="0" xfId="1" applyNumberFormat="1" applyFont="1" applyFill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3" borderId="0" xfId="0" applyFill="1" applyBorder="1" applyAlignment="1" applyProtection="1">
      <alignment horizontal="center"/>
      <protection locked="0"/>
    </xf>
    <xf numFmtId="168" fontId="0" fillId="3" borderId="0" xfId="0" applyNumberFormat="1" applyFill="1" applyAlignment="1" applyProtection="1">
      <alignment horizontal="center"/>
      <protection locked="0"/>
    </xf>
    <xf numFmtId="167" fontId="0" fillId="4" borderId="0" xfId="1" applyNumberFormat="1" applyFont="1" applyFill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3" fontId="0" fillId="4" borderId="0" xfId="0" applyNumberFormat="1" applyFill="1" applyAlignment="1" applyProtection="1">
      <alignment horizontal="center"/>
    </xf>
    <xf numFmtId="168" fontId="0" fillId="4" borderId="0" xfId="0" applyNumberFormat="1" applyFill="1" applyAlignment="1" applyProtection="1">
      <alignment horizontal="center"/>
    </xf>
    <xf numFmtId="1" fontId="0" fillId="4" borderId="0" xfId="0" applyNumberFormat="1" applyFill="1" applyAlignment="1" applyProtection="1">
      <alignment horizontal="center"/>
    </xf>
    <xf numFmtId="0" fontId="0" fillId="0" borderId="5" xfId="0" applyBorder="1" applyAlignment="1">
      <alignment horizontal="center"/>
    </xf>
    <xf numFmtId="9" fontId="0" fillId="0" borderId="0" xfId="2" applyFont="1" applyBorder="1" applyAlignment="1">
      <alignment horizontal="center"/>
    </xf>
    <xf numFmtId="9" fontId="0" fillId="0" borderId="9" xfId="2" applyFont="1" applyBorder="1" applyAlignment="1">
      <alignment horizontal="center"/>
    </xf>
    <xf numFmtId="9" fontId="0" fillId="0" borderId="4" xfId="2" applyFont="1" applyBorder="1" applyAlignment="1">
      <alignment horizontal="center"/>
    </xf>
    <xf numFmtId="9" fontId="0" fillId="0" borderId="13" xfId="2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65" fontId="0" fillId="0" borderId="9" xfId="1" applyNumberFormat="1" applyFont="1" applyBorder="1" applyAlignment="1">
      <alignment horizontal="center"/>
    </xf>
    <xf numFmtId="165" fontId="0" fillId="0" borderId="4" xfId="1" applyNumberFormat="1" applyFont="1" applyBorder="1" applyAlignment="1">
      <alignment horizontal="center"/>
    </xf>
    <xf numFmtId="165" fontId="0" fillId="0" borderId="13" xfId="1" applyNumberFormat="1" applyFont="1" applyBorder="1" applyAlignment="1">
      <alignment horizontal="center"/>
    </xf>
    <xf numFmtId="0" fontId="5" fillId="0" borderId="0" xfId="0" applyFont="1"/>
    <xf numFmtId="0" fontId="0" fillId="3" borderId="0" xfId="0" applyFill="1"/>
    <xf numFmtId="0" fontId="0" fillId="4" borderId="0" xfId="0" applyFill="1"/>
    <xf numFmtId="0" fontId="0" fillId="0" borderId="0" xfId="0" quotePrefix="1"/>
    <xf numFmtId="0" fontId="2" fillId="0" borderId="0" xfId="0" quotePrefix="1" applyFont="1"/>
    <xf numFmtId="167" fontId="0" fillId="3" borderId="0" xfId="0" applyNumberFormat="1" applyFill="1" applyAlignment="1" applyProtection="1">
      <alignment horizontal="center"/>
      <protection locked="0"/>
    </xf>
    <xf numFmtId="168" fontId="0" fillId="3" borderId="8" xfId="1" applyNumberFormat="1" applyFont="1" applyFill="1" applyBorder="1" applyAlignment="1" applyProtection="1">
      <alignment horizontal="center"/>
      <protection locked="0"/>
    </xf>
    <xf numFmtId="168" fontId="0" fillId="0" borderId="8" xfId="1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3" fontId="0" fillId="3" borderId="9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9" fontId="0" fillId="5" borderId="9" xfId="2" applyFont="1" applyFill="1" applyBorder="1" applyProtection="1">
      <protection locked="0"/>
    </xf>
    <xf numFmtId="164" fontId="0" fillId="3" borderId="9" xfId="1" applyFont="1" applyFill="1" applyBorder="1" applyProtection="1">
      <protection locked="0"/>
    </xf>
    <xf numFmtId="165" fontId="0" fillId="3" borderId="8" xfId="1" applyNumberFormat="1" applyFont="1" applyFill="1" applyBorder="1" applyProtection="1">
      <protection locked="0"/>
    </xf>
    <xf numFmtId="0" fontId="0" fillId="5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8" borderId="0" xfId="0" applyFill="1" applyAlignment="1">
      <alignment horizontal="left"/>
    </xf>
    <xf numFmtId="0" fontId="0" fillId="8" borderId="0" xfId="0" applyFill="1" applyAlignment="1">
      <alignment horizontal="center"/>
    </xf>
    <xf numFmtId="0" fontId="0" fillId="8" borderId="0" xfId="0" applyFill="1"/>
    <xf numFmtId="44" fontId="0" fillId="0" borderId="0" xfId="0" applyNumberFormat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2"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Income vs Yield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Graphs!$L$4</c:f>
              <c:strCache>
                <c:ptCount val="1"/>
                <c:pt idx="0">
                  <c:v>20,000 taps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Graphs!$K$7:$K$13</c:f>
              <c:numCache>
                <c:formatCode>General</c:formatCode>
                <c:ptCount val="7"/>
                <c:pt idx="0">
                  <c:v>0.8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</c:numCache>
            </c:numRef>
          </c:cat>
          <c:val>
            <c:numRef>
              <c:f>Graphs!$L$7:$L$13</c:f>
              <c:numCache>
                <c:formatCode>0%</c:formatCode>
                <c:ptCount val="7"/>
                <c:pt idx="0">
                  <c:v>-0.77300000000000002</c:v>
                </c:pt>
                <c:pt idx="1">
                  <c:v>-0.443</c:v>
                </c:pt>
                <c:pt idx="2">
                  <c:v>-0.222</c:v>
                </c:pt>
                <c:pt idx="3">
                  <c:v>-6.5000000000000002E-2</c:v>
                </c:pt>
                <c:pt idx="4">
                  <c:v>5.2999999999999999E-2</c:v>
                </c:pt>
                <c:pt idx="5">
                  <c:v>0.14499999999999999</c:v>
                </c:pt>
                <c:pt idx="6">
                  <c:v>0.219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C7C-4925-A155-7D770C8630C4}"/>
            </c:ext>
          </c:extLst>
        </c:ser>
        <c:ser>
          <c:idx val="1"/>
          <c:order val="1"/>
          <c:tx>
            <c:strRef>
              <c:f>Graphs!$M$4</c:f>
              <c:strCache>
                <c:ptCount val="1"/>
                <c:pt idx="0">
                  <c:v>38,000 taps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Graphs!$K$7:$K$13</c:f>
              <c:numCache>
                <c:formatCode>General</c:formatCode>
                <c:ptCount val="7"/>
                <c:pt idx="0">
                  <c:v>0.8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</c:numCache>
            </c:numRef>
          </c:cat>
          <c:val>
            <c:numRef>
              <c:f>Graphs!$M$7:$M$13</c:f>
              <c:numCache>
                <c:formatCode>0%</c:formatCode>
                <c:ptCount val="7"/>
                <c:pt idx="0">
                  <c:v>-0.34799999999999998</c:v>
                </c:pt>
                <c:pt idx="1">
                  <c:v>-0.10199999999999999</c:v>
                </c:pt>
                <c:pt idx="2">
                  <c:v>6.0999999999999999E-2</c:v>
                </c:pt>
                <c:pt idx="3">
                  <c:v>0.17799999999999999</c:v>
                </c:pt>
                <c:pt idx="4">
                  <c:v>0.26600000000000001</c:v>
                </c:pt>
                <c:pt idx="5">
                  <c:v>0.33400000000000002</c:v>
                </c:pt>
                <c:pt idx="6">
                  <c:v>0.38900000000000001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C7C-4925-A155-7D770C8630C4}"/>
            </c:ext>
          </c:extLst>
        </c:ser>
        <c:ser>
          <c:idx val="2"/>
          <c:order val="2"/>
          <c:tx>
            <c:strRef>
              <c:f>Graphs!$N$4</c:f>
              <c:strCache>
                <c:ptCount val="1"/>
                <c:pt idx="0">
                  <c:v>75,000 taps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Graphs!$K$7:$K$13</c:f>
              <c:numCache>
                <c:formatCode>General</c:formatCode>
                <c:ptCount val="7"/>
                <c:pt idx="0">
                  <c:v>0.8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</c:numCache>
            </c:numRef>
          </c:cat>
          <c:val>
            <c:numRef>
              <c:f>Graphs!$N$7:$N$13</c:f>
              <c:numCache>
                <c:formatCode>0%</c:formatCode>
                <c:ptCount val="7"/>
                <c:pt idx="0">
                  <c:v>-6.9000000000000006E-2</c:v>
                </c:pt>
                <c:pt idx="1">
                  <c:v>0.121</c:v>
                </c:pt>
                <c:pt idx="2">
                  <c:v>0.247</c:v>
                </c:pt>
                <c:pt idx="3">
                  <c:v>0.33800000000000002</c:v>
                </c:pt>
                <c:pt idx="4">
                  <c:v>0.40600000000000003</c:v>
                </c:pt>
                <c:pt idx="5">
                  <c:v>0.45800000000000002</c:v>
                </c:pt>
                <c:pt idx="6">
                  <c:v>0.501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9C7C-4925-A155-7D770C863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837440"/>
        <c:axId val="609838424"/>
      </c:lineChart>
      <c:catAx>
        <c:axId val="609837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Yield (liters/tap)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838424"/>
        <c:crosses val="autoZero"/>
        <c:auto val="1"/>
        <c:lblAlgn val="ctr"/>
        <c:lblOffset val="100"/>
        <c:noMultiLvlLbl val="0"/>
      </c:catAx>
      <c:valAx>
        <c:axId val="609838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Net</a:t>
                </a:r>
                <a:r>
                  <a:rPr lang="en-US" baseline="0"/>
                  <a:t> Income (%)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83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Income vs Yield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Graphs!$L$19</c:f>
              <c:strCache>
                <c:ptCount val="1"/>
                <c:pt idx="0">
                  <c:v>20,000 taps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Graphs!$K$22:$K$28</c:f>
              <c:numCache>
                <c:formatCode>General</c:formatCode>
                <c:ptCount val="7"/>
                <c:pt idx="0">
                  <c:v>0.8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</c:numCache>
            </c:numRef>
          </c:cat>
          <c:val>
            <c:numRef>
              <c:f>Graphs!$L$22:$L$28</c:f>
              <c:numCache>
                <c:formatCode>_("$"* #,##0_);_("$"* \(#,##0\);_("$"* "-"??_);_(@_)</c:formatCode>
                <c:ptCount val="7"/>
                <c:pt idx="0">
                  <c:v>-151000</c:v>
                </c:pt>
                <c:pt idx="1">
                  <c:v>-108000</c:v>
                </c:pt>
                <c:pt idx="2">
                  <c:v>-65000</c:v>
                </c:pt>
                <c:pt idx="3">
                  <c:v>-22000</c:v>
                </c:pt>
                <c:pt idx="4">
                  <c:v>21000</c:v>
                </c:pt>
                <c:pt idx="5">
                  <c:v>64000</c:v>
                </c:pt>
                <c:pt idx="6">
                  <c:v>107000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75-41CE-84B1-74F02753E5E0}"/>
            </c:ext>
          </c:extLst>
        </c:ser>
        <c:ser>
          <c:idx val="2"/>
          <c:order val="1"/>
          <c:tx>
            <c:strRef>
              <c:f>Graphs!$M$19</c:f>
              <c:strCache>
                <c:ptCount val="1"/>
                <c:pt idx="0">
                  <c:v>38,000 taps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Graphs!$K$22:$K$28</c:f>
              <c:numCache>
                <c:formatCode>General</c:formatCode>
                <c:ptCount val="7"/>
                <c:pt idx="0">
                  <c:v>0.8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</c:numCache>
            </c:numRef>
          </c:cat>
          <c:val>
            <c:numRef>
              <c:f>Graphs!$M$22:$M$28</c:f>
              <c:numCache>
                <c:formatCode>_("$"* #,##0_);_("$"* \(#,##0\);_("$"* "-"??_);_(@_)</c:formatCode>
                <c:ptCount val="7"/>
                <c:pt idx="0">
                  <c:v>-129000</c:v>
                </c:pt>
                <c:pt idx="1">
                  <c:v>-47000</c:v>
                </c:pt>
                <c:pt idx="2">
                  <c:v>34000</c:v>
                </c:pt>
                <c:pt idx="3">
                  <c:v>115000</c:v>
                </c:pt>
                <c:pt idx="4">
                  <c:v>197000</c:v>
                </c:pt>
                <c:pt idx="5">
                  <c:v>278000</c:v>
                </c:pt>
                <c:pt idx="6">
                  <c:v>360000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75-41CE-84B1-74F02753E5E0}"/>
            </c:ext>
          </c:extLst>
        </c:ser>
        <c:ser>
          <c:idx val="3"/>
          <c:order val="2"/>
          <c:tx>
            <c:strRef>
              <c:f>Graphs!$N$19</c:f>
              <c:strCache>
                <c:ptCount val="1"/>
                <c:pt idx="0">
                  <c:v>75,000 taps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Graphs!$K$22:$K$28</c:f>
              <c:numCache>
                <c:formatCode>General</c:formatCode>
                <c:ptCount val="7"/>
                <c:pt idx="0">
                  <c:v>0.8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</c:numCache>
            </c:numRef>
          </c:cat>
          <c:val>
            <c:numRef>
              <c:f>Graphs!$N$22:$N$28</c:f>
              <c:numCache>
                <c:formatCode>_("$"* #,##0_);_("$"* \(#,##0\);_("$"* "-"??_);_(@_)</c:formatCode>
                <c:ptCount val="7"/>
                <c:pt idx="0">
                  <c:v>-50000</c:v>
                </c:pt>
                <c:pt idx="1">
                  <c:v>110000</c:v>
                </c:pt>
                <c:pt idx="2">
                  <c:v>271000</c:v>
                </c:pt>
                <c:pt idx="3">
                  <c:v>431000</c:v>
                </c:pt>
                <c:pt idx="4">
                  <c:v>593000</c:v>
                </c:pt>
                <c:pt idx="5">
                  <c:v>753000</c:v>
                </c:pt>
                <c:pt idx="6">
                  <c:v>914000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C75-41CE-84B1-74F02753E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837440"/>
        <c:axId val="609838424"/>
      </c:lineChart>
      <c:catAx>
        <c:axId val="609837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Yield (liters/tap)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838424"/>
        <c:crossesAt val="0"/>
        <c:auto val="1"/>
        <c:lblAlgn val="ctr"/>
        <c:lblOffset val="100"/>
        <c:noMultiLvlLbl val="0"/>
      </c:catAx>
      <c:valAx>
        <c:axId val="609838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Net</a:t>
                </a:r>
                <a:r>
                  <a:rPr lang="en-US" baseline="0"/>
                  <a:t> Income ($)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83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Income vs Yield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Graphs!$L$37</c:f>
              <c:strCache>
                <c:ptCount val="1"/>
                <c:pt idx="0">
                  <c:v>1500 taps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Graphs!$K$40:$K$46</c:f>
              <c:numCache>
                <c:formatCode>General</c:formatCode>
                <c:ptCount val="7"/>
                <c:pt idx="0">
                  <c:v>0.8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</c:numCache>
            </c:numRef>
          </c:cat>
          <c:val>
            <c:numRef>
              <c:f>Graphs!$L$40:$L$46</c:f>
              <c:numCache>
                <c:formatCode>_("$"* #,##0_);_("$"* \(#,##0\);_("$"* "-"??_);_(@_)</c:formatCode>
                <c:ptCount val="7"/>
                <c:pt idx="0">
                  <c:v>-15000</c:v>
                </c:pt>
                <c:pt idx="1">
                  <c:v>-8000</c:v>
                </c:pt>
                <c:pt idx="2">
                  <c:v>0</c:v>
                </c:pt>
                <c:pt idx="3">
                  <c:v>7000</c:v>
                </c:pt>
                <c:pt idx="4">
                  <c:v>10000</c:v>
                </c:pt>
                <c:pt idx="5">
                  <c:v>15000</c:v>
                </c:pt>
                <c:pt idx="6">
                  <c:v>18000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0F-437C-8741-747CD5A4FA9D}"/>
            </c:ext>
          </c:extLst>
        </c:ser>
        <c:ser>
          <c:idx val="2"/>
          <c:order val="1"/>
          <c:tx>
            <c:strRef>
              <c:f>Graphs!$M$37</c:f>
              <c:strCache>
                <c:ptCount val="1"/>
                <c:pt idx="0">
                  <c:v>3000 taps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Graphs!$K$40:$K$46</c:f>
              <c:numCache>
                <c:formatCode>General</c:formatCode>
                <c:ptCount val="7"/>
                <c:pt idx="0">
                  <c:v>0.8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</c:numCache>
            </c:numRef>
          </c:cat>
          <c:val>
            <c:numRef>
              <c:f>Graphs!$M$40:$M$46</c:f>
              <c:numCache>
                <c:formatCode>_("$"* #,##0_);_("$"* \(#,##0\);_("$"* "-"??_);_(@_)</c:formatCode>
                <c:ptCount val="7"/>
                <c:pt idx="0">
                  <c:v>-3000</c:v>
                </c:pt>
                <c:pt idx="1">
                  <c:v>5000</c:v>
                </c:pt>
                <c:pt idx="2">
                  <c:v>13000</c:v>
                </c:pt>
                <c:pt idx="3">
                  <c:v>21000</c:v>
                </c:pt>
                <c:pt idx="4">
                  <c:v>29000</c:v>
                </c:pt>
                <c:pt idx="5">
                  <c:v>36000</c:v>
                </c:pt>
                <c:pt idx="6">
                  <c:v>44000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0F-437C-8741-747CD5A4FA9D}"/>
            </c:ext>
          </c:extLst>
        </c:ser>
        <c:ser>
          <c:idx val="3"/>
          <c:order val="2"/>
          <c:tx>
            <c:strRef>
              <c:f>Graphs!$N$37</c:f>
              <c:strCache>
                <c:ptCount val="1"/>
                <c:pt idx="0">
                  <c:v>4500 taps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Graphs!$K$40:$K$46</c:f>
              <c:numCache>
                <c:formatCode>General</c:formatCode>
                <c:ptCount val="7"/>
                <c:pt idx="0">
                  <c:v>0.8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</c:numCache>
            </c:numRef>
          </c:cat>
          <c:val>
            <c:numRef>
              <c:f>Graphs!$N$40:$N$46</c:f>
              <c:numCache>
                <c:formatCode>_("$"* #,##0_);_("$"* \(#,##0\);_("$"* "-"??_);_(@_)</c:formatCode>
                <c:ptCount val="7"/>
                <c:pt idx="0">
                  <c:v>3000</c:v>
                </c:pt>
                <c:pt idx="1">
                  <c:v>15000</c:v>
                </c:pt>
                <c:pt idx="2">
                  <c:v>26000</c:v>
                </c:pt>
                <c:pt idx="3">
                  <c:v>37000</c:v>
                </c:pt>
                <c:pt idx="4">
                  <c:v>48000</c:v>
                </c:pt>
                <c:pt idx="5">
                  <c:v>60000</c:v>
                </c:pt>
                <c:pt idx="6">
                  <c:v>70000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0F-437C-8741-747CD5A4F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837440"/>
        <c:axId val="609838424"/>
      </c:lineChart>
      <c:catAx>
        <c:axId val="609837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Yield (liters/tap)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838424"/>
        <c:crossesAt val="0"/>
        <c:auto val="1"/>
        <c:lblAlgn val="ctr"/>
        <c:lblOffset val="100"/>
        <c:noMultiLvlLbl val="0"/>
      </c:catAx>
      <c:valAx>
        <c:axId val="609838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Net</a:t>
                </a:r>
                <a:r>
                  <a:rPr lang="en-US" baseline="0"/>
                  <a:t> Income ($)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83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Income vs Yield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Graphs!$L$37</c:f>
              <c:strCache>
                <c:ptCount val="1"/>
                <c:pt idx="0">
                  <c:v>1500 taps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Graphs!$K$61:$K$67</c:f>
              <c:numCache>
                <c:formatCode>General</c:formatCode>
                <c:ptCount val="7"/>
                <c:pt idx="0">
                  <c:v>0.8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</c:numCache>
            </c:numRef>
          </c:cat>
          <c:val>
            <c:numRef>
              <c:f>Graphs!$L$61:$L$67</c:f>
              <c:numCache>
                <c:formatCode>0%</c:formatCode>
                <c:ptCount val="7"/>
                <c:pt idx="0">
                  <c:v>-0.44400000000000001</c:v>
                </c:pt>
                <c:pt idx="1">
                  <c:v>-0.17499999999999999</c:v>
                </c:pt>
                <c:pt idx="2">
                  <c:v>5.0000000000000001E-3</c:v>
                </c:pt>
                <c:pt idx="3">
                  <c:v>0.114</c:v>
                </c:pt>
                <c:pt idx="4">
                  <c:v>0.16600000000000001</c:v>
                </c:pt>
                <c:pt idx="5">
                  <c:v>0.217</c:v>
                </c:pt>
                <c:pt idx="6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74-4301-A4AC-B165E4326C5C}"/>
            </c:ext>
          </c:extLst>
        </c:ser>
        <c:ser>
          <c:idx val="2"/>
          <c:order val="1"/>
          <c:tx>
            <c:strRef>
              <c:f>Graphs!$M$37</c:f>
              <c:strCache>
                <c:ptCount val="1"/>
                <c:pt idx="0">
                  <c:v>3000 taps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Graphs!$K$61:$K$67</c:f>
              <c:numCache>
                <c:formatCode>General</c:formatCode>
                <c:ptCount val="7"/>
                <c:pt idx="0">
                  <c:v>0.8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</c:numCache>
            </c:numRef>
          </c:cat>
          <c:val>
            <c:numRef>
              <c:f>Graphs!$M$61:$M$67</c:f>
              <c:numCache>
                <c:formatCode>0%</c:formatCode>
                <c:ptCount val="7"/>
                <c:pt idx="0">
                  <c:v>-4.5999999999999999E-2</c:v>
                </c:pt>
                <c:pt idx="1">
                  <c:v>7.2999999999999995E-2</c:v>
                </c:pt>
                <c:pt idx="2">
                  <c:v>0.16400000000000001</c:v>
                </c:pt>
                <c:pt idx="3">
                  <c:v>0.23300000000000001</c:v>
                </c:pt>
                <c:pt idx="4">
                  <c:v>0.29399999999999998</c:v>
                </c:pt>
                <c:pt idx="5">
                  <c:v>0.34</c:v>
                </c:pt>
                <c:pt idx="6">
                  <c:v>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74-4301-A4AC-B165E4326C5C}"/>
            </c:ext>
          </c:extLst>
        </c:ser>
        <c:ser>
          <c:idx val="3"/>
          <c:order val="2"/>
          <c:tx>
            <c:strRef>
              <c:f>Graphs!$N$37</c:f>
              <c:strCache>
                <c:ptCount val="1"/>
                <c:pt idx="0">
                  <c:v>4500 taps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Graphs!$K$61:$K$67</c:f>
              <c:numCache>
                <c:formatCode>General</c:formatCode>
                <c:ptCount val="7"/>
                <c:pt idx="0">
                  <c:v>0.8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</c:numCache>
            </c:numRef>
          </c:cat>
          <c:val>
            <c:numRef>
              <c:f>Graphs!$N$61:$N$67</c:f>
              <c:numCache>
                <c:formatCode>0%</c:formatCode>
                <c:ptCount val="7"/>
                <c:pt idx="0">
                  <c:v>3.4000000000000002E-2</c:v>
                </c:pt>
                <c:pt idx="1">
                  <c:v>0.16</c:v>
                </c:pt>
                <c:pt idx="2">
                  <c:v>0.24</c:v>
                </c:pt>
                <c:pt idx="3">
                  <c:v>0.31</c:v>
                </c:pt>
                <c:pt idx="4">
                  <c:v>0.36</c:v>
                </c:pt>
                <c:pt idx="5">
                  <c:v>0.41</c:v>
                </c:pt>
                <c:pt idx="6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74-4301-A4AC-B165E4326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837440"/>
        <c:axId val="609838424"/>
      </c:lineChart>
      <c:catAx>
        <c:axId val="609837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Yield (liters/tap)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838424"/>
        <c:crossesAt val="0"/>
        <c:auto val="1"/>
        <c:lblAlgn val="ctr"/>
        <c:lblOffset val="100"/>
        <c:noMultiLvlLbl val="0"/>
      </c:catAx>
      <c:valAx>
        <c:axId val="609838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Net</a:t>
                </a:r>
                <a:r>
                  <a:rPr lang="en-US" baseline="0"/>
                  <a:t> Income (%)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83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2</xdr:row>
      <xdr:rowOff>119062</xdr:rowOff>
    </xdr:from>
    <xdr:to>
      <xdr:col>8</xdr:col>
      <xdr:colOff>590551</xdr:colOff>
      <xdr:row>15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C3D3CF-6120-4C11-AD3C-E7D11FF80E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16</xdr:row>
      <xdr:rowOff>152400</xdr:rowOff>
    </xdr:from>
    <xdr:to>
      <xdr:col>8</xdr:col>
      <xdr:colOff>609599</xdr:colOff>
      <xdr:row>29</xdr:row>
      <xdr:rowOff>76200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0D958A6-FFEB-4511-BBE3-89C03321B7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34</xdr:row>
      <xdr:rowOff>152400</xdr:rowOff>
    </xdr:from>
    <xdr:to>
      <xdr:col>8</xdr:col>
      <xdr:colOff>609599</xdr:colOff>
      <xdr:row>47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E1063F4-C4EC-42A1-90ED-812976F998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57150</xdr:colOff>
      <xdr:row>55</xdr:row>
      <xdr:rowOff>152400</xdr:rowOff>
    </xdr:from>
    <xdr:to>
      <xdr:col>8</xdr:col>
      <xdr:colOff>609599</xdr:colOff>
      <xdr:row>70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A26CCEA-A180-4776-B066-D75BF929C9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2CAEB-B05C-404F-B202-F67CC3FCB325}">
  <dimension ref="A1:K59"/>
  <sheetViews>
    <sheetView topLeftCell="A25" workbookViewId="0">
      <selection activeCell="N42" sqref="N42"/>
    </sheetView>
  </sheetViews>
  <sheetFormatPr defaultRowHeight="15" x14ac:dyDescent="0.25"/>
  <cols>
    <col min="1" max="1" width="18.42578125" customWidth="1"/>
    <col min="11" max="11" width="9.85546875" customWidth="1"/>
  </cols>
  <sheetData>
    <row r="1" spans="1:2" ht="18.75" x14ac:dyDescent="0.3">
      <c r="A1" s="2" t="s">
        <v>235</v>
      </c>
    </row>
    <row r="4" spans="1:2" ht="15.75" x14ac:dyDescent="0.25">
      <c r="A4" s="142" t="s">
        <v>1</v>
      </c>
      <c r="B4" t="s">
        <v>236</v>
      </c>
    </row>
    <row r="5" spans="1:2" x14ac:dyDescent="0.25">
      <c r="B5" t="s">
        <v>237</v>
      </c>
    </row>
    <row r="6" spans="1:2" x14ac:dyDescent="0.25">
      <c r="B6" t="s">
        <v>238</v>
      </c>
    </row>
    <row r="7" spans="1:2" x14ac:dyDescent="0.25">
      <c r="B7" t="s">
        <v>290</v>
      </c>
    </row>
    <row r="9" spans="1:2" ht="15.75" x14ac:dyDescent="0.25">
      <c r="B9" s="142" t="s">
        <v>239</v>
      </c>
    </row>
    <row r="10" spans="1:2" x14ac:dyDescent="0.25">
      <c r="B10" t="s">
        <v>291</v>
      </c>
    </row>
    <row r="12" spans="1:2" x14ac:dyDescent="0.25">
      <c r="B12" t="s">
        <v>240</v>
      </c>
    </row>
    <row r="15" spans="1:2" ht="15.75" x14ac:dyDescent="0.25">
      <c r="A15" s="142" t="s">
        <v>33</v>
      </c>
    </row>
    <row r="17" spans="1:11" x14ac:dyDescent="0.25">
      <c r="A17" s="3" t="s">
        <v>1</v>
      </c>
      <c r="B17" t="s">
        <v>241</v>
      </c>
    </row>
    <row r="18" spans="1:11" x14ac:dyDescent="0.25">
      <c r="A18" s="3"/>
      <c r="B18" s="143" t="s">
        <v>242</v>
      </c>
      <c r="C18" s="143"/>
      <c r="D18" s="143"/>
      <c r="E18" s="143"/>
      <c r="F18" s="143"/>
      <c r="G18" s="143"/>
      <c r="H18" s="143"/>
      <c r="I18" s="143"/>
      <c r="J18" s="143"/>
      <c r="K18" s="143"/>
    </row>
    <row r="19" spans="1:11" x14ac:dyDescent="0.25">
      <c r="A19" s="3"/>
      <c r="B19" s="144" t="s">
        <v>243</v>
      </c>
      <c r="C19" s="144"/>
      <c r="D19" s="144"/>
      <c r="E19" s="144"/>
      <c r="F19" s="144"/>
      <c r="G19" s="144"/>
      <c r="H19" s="144"/>
      <c r="I19" s="144"/>
      <c r="J19" s="144"/>
      <c r="K19" s="144"/>
    </row>
    <row r="20" spans="1:11" x14ac:dyDescent="0.25">
      <c r="A20" s="3"/>
      <c r="B20" s="144" t="s">
        <v>294</v>
      </c>
      <c r="C20" s="144"/>
      <c r="D20" s="144"/>
      <c r="E20" s="144"/>
      <c r="F20" s="144"/>
      <c r="G20" s="144"/>
      <c r="H20" s="144"/>
      <c r="I20" s="144"/>
      <c r="J20" s="144"/>
      <c r="K20" s="144"/>
    </row>
    <row r="21" spans="1:11" x14ac:dyDescent="0.25">
      <c r="A21" s="3"/>
      <c r="B21" t="s">
        <v>244</v>
      </c>
    </row>
    <row r="22" spans="1:11" x14ac:dyDescent="0.25">
      <c r="A22" s="3"/>
      <c r="B22" t="s">
        <v>245</v>
      </c>
    </row>
    <row r="23" spans="1:11" x14ac:dyDescent="0.25">
      <c r="A23" s="3"/>
      <c r="B23" t="s">
        <v>265</v>
      </c>
    </row>
    <row r="24" spans="1:11" x14ac:dyDescent="0.25">
      <c r="A24" s="3"/>
    </row>
    <row r="25" spans="1:11" x14ac:dyDescent="0.25">
      <c r="A25" s="3" t="s">
        <v>246</v>
      </c>
      <c r="B25" t="s">
        <v>247</v>
      </c>
    </row>
    <row r="26" spans="1:11" x14ac:dyDescent="0.25">
      <c r="A26" s="3"/>
      <c r="B26" t="s">
        <v>249</v>
      </c>
    </row>
    <row r="27" spans="1:11" x14ac:dyDescent="0.25">
      <c r="A27" s="3"/>
      <c r="B27" t="s">
        <v>250</v>
      </c>
    </row>
    <row r="28" spans="1:11" x14ac:dyDescent="0.25">
      <c r="A28" s="3"/>
      <c r="B28" t="s">
        <v>251</v>
      </c>
    </row>
    <row r="29" spans="1:11" x14ac:dyDescent="0.25">
      <c r="A29" s="3"/>
    </row>
    <row r="30" spans="1:11" x14ac:dyDescent="0.25">
      <c r="A30" s="3" t="s">
        <v>252</v>
      </c>
      <c r="B30" t="s">
        <v>260</v>
      </c>
    </row>
    <row r="31" spans="1:11" x14ac:dyDescent="0.25">
      <c r="A31" s="3"/>
      <c r="B31" t="s">
        <v>262</v>
      </c>
    </row>
    <row r="32" spans="1:11" x14ac:dyDescent="0.25">
      <c r="A32" s="146" t="s">
        <v>263</v>
      </c>
      <c r="B32" s="145" t="s">
        <v>264</v>
      </c>
    </row>
    <row r="33" spans="1:3" x14ac:dyDescent="0.25">
      <c r="A33" s="3"/>
      <c r="B33" t="s">
        <v>261</v>
      </c>
    </row>
    <row r="34" spans="1:3" x14ac:dyDescent="0.25">
      <c r="A34" s="3"/>
    </row>
    <row r="35" spans="1:3" x14ac:dyDescent="0.25">
      <c r="A35" s="3" t="s">
        <v>87</v>
      </c>
      <c r="B35" t="s">
        <v>296</v>
      </c>
    </row>
    <row r="36" spans="1:3" x14ac:dyDescent="0.25">
      <c r="A36" s="3"/>
      <c r="B36" t="s">
        <v>297</v>
      </c>
    </row>
    <row r="37" spans="1:3" x14ac:dyDescent="0.25">
      <c r="A37" s="3"/>
      <c r="B37" t="s">
        <v>267</v>
      </c>
    </row>
    <row r="38" spans="1:3" x14ac:dyDescent="0.25">
      <c r="A38" s="3"/>
    </row>
    <row r="39" spans="1:3" x14ac:dyDescent="0.25">
      <c r="A39" s="3" t="s">
        <v>268</v>
      </c>
      <c r="B39" t="s">
        <v>269</v>
      </c>
    </row>
    <row r="40" spans="1:3" x14ac:dyDescent="0.25">
      <c r="A40" s="3"/>
      <c r="B40" t="s">
        <v>270</v>
      </c>
    </row>
    <row r="41" spans="1:3" x14ac:dyDescent="0.25">
      <c r="A41" s="3"/>
      <c r="B41" t="s">
        <v>271</v>
      </c>
    </row>
    <row r="42" spans="1:3" x14ac:dyDescent="0.25">
      <c r="A42" s="3"/>
      <c r="B42" t="s">
        <v>272</v>
      </c>
    </row>
    <row r="43" spans="1:3" x14ac:dyDescent="0.25">
      <c r="A43" s="3"/>
    </row>
    <row r="44" spans="1:3" x14ac:dyDescent="0.25">
      <c r="A44" s="3" t="s">
        <v>273</v>
      </c>
      <c r="B44" t="s">
        <v>274</v>
      </c>
    </row>
    <row r="45" spans="1:3" x14ac:dyDescent="0.25">
      <c r="A45" s="3"/>
      <c r="B45" t="s">
        <v>275</v>
      </c>
    </row>
    <row r="46" spans="1:3" x14ac:dyDescent="0.25">
      <c r="A46" s="3"/>
      <c r="B46" t="s">
        <v>285</v>
      </c>
    </row>
    <row r="47" spans="1:3" x14ac:dyDescent="0.25">
      <c r="A47" s="3"/>
      <c r="C47" t="s">
        <v>276</v>
      </c>
    </row>
    <row r="48" spans="1:3" x14ac:dyDescent="0.25">
      <c r="A48" s="3"/>
      <c r="C48" t="s">
        <v>282</v>
      </c>
    </row>
    <row r="49" spans="1:3" x14ac:dyDescent="0.25">
      <c r="A49" s="3"/>
      <c r="C49" t="s">
        <v>277</v>
      </c>
    </row>
    <row r="50" spans="1:3" x14ac:dyDescent="0.25">
      <c r="A50" s="3"/>
      <c r="C50" t="s">
        <v>278</v>
      </c>
    </row>
    <row r="51" spans="1:3" x14ac:dyDescent="0.25">
      <c r="A51" s="3"/>
      <c r="C51" t="s">
        <v>279</v>
      </c>
    </row>
    <row r="52" spans="1:3" x14ac:dyDescent="0.25">
      <c r="A52" s="3"/>
      <c r="C52" t="s">
        <v>280</v>
      </c>
    </row>
    <row r="53" spans="1:3" x14ac:dyDescent="0.25">
      <c r="A53" s="3"/>
      <c r="B53" t="s">
        <v>281</v>
      </c>
    </row>
    <row r="54" spans="1:3" x14ac:dyDescent="0.25">
      <c r="A54" s="3"/>
      <c r="B54" t="s">
        <v>283</v>
      </c>
    </row>
    <row r="55" spans="1:3" x14ac:dyDescent="0.25">
      <c r="A55" s="3"/>
      <c r="C55" t="s">
        <v>284</v>
      </c>
    </row>
    <row r="56" spans="1:3" x14ac:dyDescent="0.25">
      <c r="A56" s="3"/>
      <c r="C56" t="s">
        <v>286</v>
      </c>
    </row>
    <row r="57" spans="1:3" x14ac:dyDescent="0.25">
      <c r="A57" s="3"/>
    </row>
    <row r="58" spans="1:3" x14ac:dyDescent="0.25">
      <c r="A58" s="3" t="s">
        <v>287</v>
      </c>
      <c r="B58" t="s">
        <v>288</v>
      </c>
    </row>
    <row r="59" spans="1:3" x14ac:dyDescent="0.25">
      <c r="B59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25B39-880B-4792-95D5-730893B640FF}">
  <dimension ref="A1:K38"/>
  <sheetViews>
    <sheetView workbookViewId="0">
      <selection activeCell="E32" sqref="E32"/>
    </sheetView>
  </sheetViews>
  <sheetFormatPr defaultRowHeight="15" x14ac:dyDescent="0.25"/>
  <cols>
    <col min="1" max="1" width="15.5703125" style="112" customWidth="1"/>
    <col min="2" max="2" width="14.7109375" style="112" customWidth="1"/>
    <col min="3" max="3" width="28.28515625" style="112" customWidth="1"/>
    <col min="4" max="4" width="5.85546875" style="112" customWidth="1"/>
    <col min="5" max="5" width="23.140625" style="112" customWidth="1"/>
    <col min="6" max="6" width="59.85546875" style="112" customWidth="1"/>
    <col min="7" max="16384" width="9.140625" style="112"/>
  </cols>
  <sheetData>
    <row r="1" spans="1:10" ht="18.75" x14ac:dyDescent="0.3">
      <c r="A1" s="111" t="s">
        <v>1</v>
      </c>
    </row>
    <row r="2" spans="1:10" x14ac:dyDescent="0.25">
      <c r="E2" s="113" t="s">
        <v>37</v>
      </c>
      <c r="F2" s="112" t="s">
        <v>38</v>
      </c>
    </row>
    <row r="3" spans="1:10" x14ac:dyDescent="0.25">
      <c r="C3" s="112" t="s">
        <v>0</v>
      </c>
      <c r="E3" s="114" t="s">
        <v>101</v>
      </c>
      <c r="F3" s="115" t="s">
        <v>253</v>
      </c>
    </row>
    <row r="4" spans="1:10" x14ac:dyDescent="0.25">
      <c r="C4" s="112" t="s">
        <v>31</v>
      </c>
      <c r="E4" s="128">
        <f>'Income Statement'!H13</f>
        <v>26.2</v>
      </c>
      <c r="F4" s="112" t="s">
        <v>134</v>
      </c>
    </row>
    <row r="5" spans="1:10" x14ac:dyDescent="0.25">
      <c r="C5" s="112" t="s">
        <v>147</v>
      </c>
      <c r="E5" s="128">
        <f>'Income Statement'!H12</f>
        <v>50</v>
      </c>
    </row>
    <row r="7" spans="1:10" x14ac:dyDescent="0.25">
      <c r="A7" s="116"/>
      <c r="B7" s="116"/>
      <c r="C7" s="116"/>
      <c r="D7" s="116"/>
      <c r="E7" s="116"/>
      <c r="F7" s="116"/>
      <c r="G7" s="116"/>
      <c r="H7" s="116"/>
      <c r="I7" s="116"/>
      <c r="J7" s="116"/>
    </row>
    <row r="8" spans="1:10" ht="18.75" x14ac:dyDescent="0.3">
      <c r="A8" s="111" t="s">
        <v>40</v>
      </c>
    </row>
    <row r="9" spans="1:10" ht="18.75" x14ac:dyDescent="0.3">
      <c r="A9" s="111"/>
    </row>
    <row r="10" spans="1:10" ht="15.75" thickBot="1" x14ac:dyDescent="0.3">
      <c r="A10" s="117" t="s">
        <v>41</v>
      </c>
      <c r="B10" s="117" t="s">
        <v>137</v>
      </c>
      <c r="C10" s="117" t="s">
        <v>36</v>
      </c>
      <c r="D10" s="117"/>
      <c r="E10" s="118" t="s">
        <v>37</v>
      </c>
      <c r="F10" s="117" t="s">
        <v>38</v>
      </c>
      <c r="G10" s="119"/>
    </row>
    <row r="11" spans="1:10" x14ac:dyDescent="0.25">
      <c r="E11" s="113"/>
    </row>
    <row r="12" spans="1:10" x14ac:dyDescent="0.25">
      <c r="A12" s="120" t="s">
        <v>148</v>
      </c>
      <c r="C12" s="112" t="s">
        <v>154</v>
      </c>
      <c r="E12" s="129">
        <f>'Income Statement'!H5</f>
        <v>38000</v>
      </c>
    </row>
    <row r="13" spans="1:10" x14ac:dyDescent="0.25">
      <c r="A13" s="120"/>
      <c r="C13" s="112" t="s">
        <v>149</v>
      </c>
      <c r="E13" s="129">
        <f>'Income Statement'!H6</f>
        <v>38000</v>
      </c>
    </row>
    <row r="14" spans="1:10" x14ac:dyDescent="0.25">
      <c r="C14" s="112" t="s">
        <v>2</v>
      </c>
      <c r="E14" s="114" t="s">
        <v>105</v>
      </c>
      <c r="F14" s="112" t="s">
        <v>253</v>
      </c>
    </row>
    <row r="15" spans="1:10" x14ac:dyDescent="0.25">
      <c r="C15" s="112" t="s">
        <v>116</v>
      </c>
      <c r="E15" s="129">
        <f>'Income Statement'!H7</f>
        <v>1.1499999999999999</v>
      </c>
    </row>
    <row r="16" spans="1:10" x14ac:dyDescent="0.25">
      <c r="C16" s="112" t="s">
        <v>117</v>
      </c>
      <c r="E16" s="121">
        <v>2</v>
      </c>
      <c r="F16" s="112" t="s">
        <v>254</v>
      </c>
    </row>
    <row r="17" spans="1:11" x14ac:dyDescent="0.25">
      <c r="C17" s="112" t="s">
        <v>6</v>
      </c>
      <c r="E17" s="130">
        <f>E12*E15*90.5/E16</f>
        <v>1977425</v>
      </c>
      <c r="F17" s="112" t="s">
        <v>188</v>
      </c>
    </row>
    <row r="18" spans="1:11" x14ac:dyDescent="0.25">
      <c r="C18" s="112" t="s">
        <v>118</v>
      </c>
      <c r="E18" s="130">
        <f>E12*E15</f>
        <v>43700</v>
      </c>
    </row>
    <row r="19" spans="1:11" x14ac:dyDescent="0.25">
      <c r="E19" s="113"/>
    </row>
    <row r="20" spans="1:11" x14ac:dyDescent="0.25">
      <c r="E20" s="113"/>
    </row>
    <row r="21" spans="1:11" x14ac:dyDescent="0.25">
      <c r="A21" s="120" t="s">
        <v>135</v>
      </c>
      <c r="B21" s="112" t="s">
        <v>19</v>
      </c>
      <c r="C21" s="112" t="s">
        <v>152</v>
      </c>
      <c r="E21" s="122">
        <v>31540</v>
      </c>
      <c r="F21" s="112" t="s">
        <v>34</v>
      </c>
      <c r="H21" s="123"/>
      <c r="I21" s="122"/>
      <c r="J21" s="123"/>
      <c r="K21" s="123"/>
    </row>
    <row r="22" spans="1:11" x14ac:dyDescent="0.25">
      <c r="C22" s="112" t="s">
        <v>153</v>
      </c>
      <c r="E22" s="122">
        <v>9912</v>
      </c>
      <c r="F22" s="112" t="s">
        <v>248</v>
      </c>
      <c r="H22" s="123"/>
      <c r="I22" s="122"/>
      <c r="J22" s="123"/>
      <c r="K22" s="123"/>
    </row>
    <row r="23" spans="1:11" x14ac:dyDescent="0.25">
      <c r="C23" s="112" t="s">
        <v>88</v>
      </c>
      <c r="E23" s="124">
        <v>1.08</v>
      </c>
      <c r="F23" s="112" t="s">
        <v>255</v>
      </c>
    </row>
    <row r="24" spans="1:11" x14ac:dyDescent="0.25">
      <c r="E24" s="113"/>
    </row>
    <row r="25" spans="1:11" x14ac:dyDescent="0.25">
      <c r="C25" s="125" t="s">
        <v>150</v>
      </c>
      <c r="D25" s="125"/>
      <c r="E25" s="126">
        <v>7</v>
      </c>
      <c r="F25" s="125" t="s">
        <v>210</v>
      </c>
    </row>
    <row r="26" spans="1:11" x14ac:dyDescent="0.25">
      <c r="C26" s="119" t="s">
        <v>151</v>
      </c>
      <c r="D26" s="125"/>
      <c r="E26" s="126">
        <v>6</v>
      </c>
      <c r="F26" s="125" t="s">
        <v>210</v>
      </c>
    </row>
    <row r="27" spans="1:11" x14ac:dyDescent="0.25">
      <c r="C27" s="112" t="s">
        <v>123</v>
      </c>
      <c r="E27" s="131">
        <f>E25*7.5*1.18*$E$4*20</f>
        <v>32461.8</v>
      </c>
      <c r="F27" s="125"/>
    </row>
    <row r="28" spans="1:11" x14ac:dyDescent="0.25">
      <c r="C28" s="112" t="s">
        <v>122</v>
      </c>
      <c r="E28" s="131">
        <f>E26*7.5*$E$5*20</f>
        <v>45000</v>
      </c>
      <c r="F28" s="125"/>
    </row>
    <row r="29" spans="1:11" x14ac:dyDescent="0.25">
      <c r="E29" s="113"/>
    </row>
    <row r="30" spans="1:11" x14ac:dyDescent="0.25">
      <c r="B30" s="112" t="s">
        <v>20</v>
      </c>
      <c r="C30" s="112" t="s">
        <v>4</v>
      </c>
      <c r="E30" s="127">
        <v>550</v>
      </c>
      <c r="F30" s="112" t="s">
        <v>256</v>
      </c>
    </row>
    <row r="31" spans="1:11" x14ac:dyDescent="0.25">
      <c r="C31" s="112" t="s">
        <v>90</v>
      </c>
      <c r="E31" s="127">
        <v>6500</v>
      </c>
      <c r="F31" s="112" t="s">
        <v>257</v>
      </c>
    </row>
    <row r="32" spans="1:11" x14ac:dyDescent="0.25">
      <c r="E32" s="113"/>
    </row>
    <row r="33" spans="1:9" x14ac:dyDescent="0.25">
      <c r="E33" s="113"/>
    </row>
    <row r="34" spans="1:9" x14ac:dyDescent="0.25">
      <c r="A34" s="120" t="s">
        <v>32</v>
      </c>
      <c r="C34" s="112" t="s">
        <v>10</v>
      </c>
      <c r="E34" s="114">
        <v>0</v>
      </c>
      <c r="F34" s="115" t="s">
        <v>258</v>
      </c>
      <c r="G34" s="115"/>
      <c r="H34" s="115"/>
      <c r="I34" s="115"/>
    </row>
    <row r="35" spans="1:9" x14ac:dyDescent="0.25">
      <c r="C35" s="112" t="s">
        <v>117</v>
      </c>
      <c r="E35" s="121">
        <v>2</v>
      </c>
      <c r="F35" s="112" t="s">
        <v>259</v>
      </c>
    </row>
    <row r="36" spans="1:9" x14ac:dyDescent="0.25">
      <c r="C36" s="112" t="s">
        <v>195</v>
      </c>
      <c r="E36" s="128">
        <f>(Sales!E15*0.01*E35/0.905)</f>
        <v>0.19889502762430938</v>
      </c>
      <c r="F36" s="112" t="s">
        <v>197</v>
      </c>
    </row>
    <row r="37" spans="1:9" x14ac:dyDescent="0.25">
      <c r="C37" s="112" t="s">
        <v>196</v>
      </c>
      <c r="E37" s="128">
        <f>E36*E34</f>
        <v>0</v>
      </c>
      <c r="F37" s="112" t="s">
        <v>119</v>
      </c>
    </row>
    <row r="38" spans="1:9" x14ac:dyDescent="0.25">
      <c r="C38" s="112" t="s">
        <v>181</v>
      </c>
      <c r="E38" s="132">
        <f>E34*E35*0.01/0.905</f>
        <v>0</v>
      </c>
    </row>
  </sheetData>
  <sheetProtection sheet="1" objects="1" scenarios="1"/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elect Regrion from drop down list" xr:uid="{2EB0622E-C5F1-4C65-95F7-02D51E0D7A9B}">
          <x14:formula1>
            <xm:f>Variables!$B$7:$B$9</xm:f>
          </x14:formula1>
          <xm:sqref>E3</xm:sqref>
        </x14:dataValidation>
        <x14:dataValidation type="list" allowBlank="1" showInputMessage="1" showErrorMessage="1" xr:uid="{EDA047E3-EFCF-426B-A579-247BF703F532}">
          <x14:formula1>
            <xm:f>Variables!$B$13:$B$14</xm:f>
          </x14:formula1>
          <xm:sqref>E14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2D134-9BD3-443E-8366-46AA3F480B48}">
  <dimension ref="A2:L42"/>
  <sheetViews>
    <sheetView topLeftCell="B28" workbookViewId="0">
      <selection activeCell="E43" sqref="E43"/>
    </sheetView>
  </sheetViews>
  <sheetFormatPr defaultRowHeight="15" x14ac:dyDescent="0.25"/>
  <cols>
    <col min="1" max="1" width="9.28515625" customWidth="1"/>
    <col min="2" max="2" width="13.85546875" customWidth="1"/>
    <col min="3" max="3" width="30.140625" customWidth="1"/>
    <col min="4" max="4" width="5.28515625" customWidth="1"/>
    <col min="5" max="5" width="12.7109375" style="5" customWidth="1"/>
    <col min="6" max="6" width="58.42578125" style="10" customWidth="1"/>
    <col min="9" max="12" width="10.7109375" customWidth="1"/>
  </cols>
  <sheetData>
    <row r="2" spans="1:7" ht="18.75" x14ac:dyDescent="0.3">
      <c r="A2" s="2" t="s">
        <v>39</v>
      </c>
      <c r="E2" s="16" t="s">
        <v>37</v>
      </c>
      <c r="F2" s="10" t="s">
        <v>38</v>
      </c>
      <c r="G2" s="12"/>
    </row>
    <row r="3" spans="1:7" x14ac:dyDescent="0.25">
      <c r="E3" s="16"/>
    </row>
    <row r="4" spans="1:7" x14ac:dyDescent="0.25">
      <c r="B4" t="s">
        <v>84</v>
      </c>
      <c r="C4" t="s">
        <v>29</v>
      </c>
      <c r="E4" s="114"/>
      <c r="F4" s="10" t="s">
        <v>128</v>
      </c>
    </row>
    <row r="5" spans="1:7" x14ac:dyDescent="0.25">
      <c r="E5" s="114"/>
      <c r="F5" s="10" t="s">
        <v>129</v>
      </c>
    </row>
    <row r="7" spans="1:7" x14ac:dyDescent="0.25">
      <c r="C7" t="s">
        <v>30</v>
      </c>
      <c r="E7" s="114"/>
      <c r="F7" s="10" t="s">
        <v>130</v>
      </c>
    </row>
    <row r="8" spans="1:7" x14ac:dyDescent="0.25">
      <c r="E8" s="114"/>
      <c r="F8" s="13" t="s">
        <v>131</v>
      </c>
    </row>
    <row r="9" spans="1:7" x14ac:dyDescent="0.25">
      <c r="F9" s="13"/>
    </row>
    <row r="10" spans="1:7" x14ac:dyDescent="0.25">
      <c r="B10" t="s">
        <v>13</v>
      </c>
      <c r="C10" t="s">
        <v>126</v>
      </c>
      <c r="E10" s="44">
        <f>ROUND('Sap Production'!E17+'Sap Production'!E34,-2)</f>
        <v>1977400</v>
      </c>
      <c r="F10" s="13" t="s">
        <v>127</v>
      </c>
    </row>
    <row r="11" spans="1:7" x14ac:dyDescent="0.25">
      <c r="C11" t="s">
        <v>89</v>
      </c>
      <c r="E11" s="107">
        <f>'Sap Production'!E12</f>
        <v>38000</v>
      </c>
      <c r="F11" s="12"/>
    </row>
    <row r="12" spans="1:7" x14ac:dyDescent="0.25">
      <c r="C12" t="s">
        <v>92</v>
      </c>
      <c r="E12" s="107">
        <f>'Sap Production'!E18</f>
        <v>43700</v>
      </c>
      <c r="F12" s="12" t="s">
        <v>125</v>
      </c>
    </row>
    <row r="13" spans="1:7" x14ac:dyDescent="0.25">
      <c r="C13" t="s">
        <v>93</v>
      </c>
      <c r="E13" s="107">
        <f>'Sap Production'!E38</f>
        <v>0</v>
      </c>
      <c r="F13" s="12" t="s">
        <v>125</v>
      </c>
    </row>
    <row r="14" spans="1:7" x14ac:dyDescent="0.25">
      <c r="C14" t="s">
        <v>94</v>
      </c>
      <c r="E14" s="107">
        <f>SUM(E12:E13)</f>
        <v>43700</v>
      </c>
    </row>
    <row r="16" spans="1:7" x14ac:dyDescent="0.25">
      <c r="B16" t="s">
        <v>85</v>
      </c>
      <c r="C16" t="s">
        <v>31</v>
      </c>
      <c r="E16" s="47">
        <f>'Income Statement'!H13</f>
        <v>26.2</v>
      </c>
      <c r="F16" t="s">
        <v>134</v>
      </c>
    </row>
    <row r="17" spans="1:6" x14ac:dyDescent="0.25">
      <c r="C17" t="s">
        <v>147</v>
      </c>
      <c r="E17" s="47">
        <f>'Income Statement'!H12</f>
        <v>50</v>
      </c>
      <c r="F17"/>
    </row>
    <row r="20" spans="1:6" x14ac:dyDescent="0.25">
      <c r="B20" t="s">
        <v>87</v>
      </c>
      <c r="C20" t="s">
        <v>7</v>
      </c>
      <c r="E20" s="45">
        <f>'Income Statement'!H11</f>
        <v>0.55000000000000004</v>
      </c>
      <c r="F20" s="13" t="s">
        <v>11</v>
      </c>
    </row>
    <row r="21" spans="1:6" x14ac:dyDescent="0.25">
      <c r="C21" t="s">
        <v>8</v>
      </c>
      <c r="E21" s="45">
        <f>'Income Statement'!H10</f>
        <v>0.4</v>
      </c>
      <c r="F21" s="13" t="s">
        <v>11</v>
      </c>
    </row>
    <row r="22" spans="1:6" x14ac:dyDescent="0.25">
      <c r="C22" t="s">
        <v>9</v>
      </c>
      <c r="E22" s="46">
        <f>'Income Statement'!H9</f>
        <v>0.05</v>
      </c>
      <c r="F22" s="13" t="s">
        <v>11</v>
      </c>
    </row>
    <row r="23" spans="1:6" x14ac:dyDescent="0.25">
      <c r="E23" s="21">
        <f>SUM(E20:E22)</f>
        <v>1</v>
      </c>
      <c r="F23" s="14" t="s">
        <v>136</v>
      </c>
    </row>
    <row r="24" spans="1:6" x14ac:dyDescent="0.25">
      <c r="E24" s="22"/>
      <c r="F24" s="14"/>
    </row>
    <row r="25" spans="1:6" x14ac:dyDescent="0.25">
      <c r="A25" s="1"/>
      <c r="B25" s="1"/>
      <c r="C25" s="1"/>
      <c r="D25" s="1"/>
      <c r="E25" s="17"/>
      <c r="F25" s="11"/>
    </row>
    <row r="26" spans="1:6" ht="18.75" x14ac:dyDescent="0.3">
      <c r="A26" s="2" t="s">
        <v>40</v>
      </c>
      <c r="E26" s="16"/>
    </row>
    <row r="27" spans="1:6" ht="18.75" x14ac:dyDescent="0.3">
      <c r="A27" s="2"/>
      <c r="E27" s="16"/>
    </row>
    <row r="28" spans="1:6" ht="15.75" thickBot="1" x14ac:dyDescent="0.3">
      <c r="A28" s="19" t="s">
        <v>41</v>
      </c>
      <c r="B28" s="19" t="s">
        <v>137</v>
      </c>
      <c r="C28" s="19" t="s">
        <v>36</v>
      </c>
      <c r="D28" s="19"/>
      <c r="E28" s="23" t="s">
        <v>37</v>
      </c>
      <c r="F28" s="19" t="s">
        <v>38</v>
      </c>
    </row>
    <row r="29" spans="1:6" x14ac:dyDescent="0.25">
      <c r="E29" s="16"/>
    </row>
    <row r="30" spans="1:6" x14ac:dyDescent="0.25">
      <c r="E30" s="16"/>
      <c r="F30" s="13"/>
    </row>
    <row r="31" spans="1:6" x14ac:dyDescent="0.25">
      <c r="B31" t="s">
        <v>19</v>
      </c>
      <c r="C31" t="s">
        <v>155</v>
      </c>
      <c r="E31" s="147">
        <v>1.48</v>
      </c>
      <c r="F31" s="13" t="s">
        <v>189</v>
      </c>
    </row>
    <row r="32" spans="1:6" x14ac:dyDescent="0.25">
      <c r="C32" t="s">
        <v>156</v>
      </c>
      <c r="E32" s="147">
        <v>2.35</v>
      </c>
      <c r="F32" s="13" t="s">
        <v>189</v>
      </c>
    </row>
    <row r="33" spans="2:12" x14ac:dyDescent="0.25">
      <c r="C33" t="s">
        <v>157</v>
      </c>
      <c r="E33" s="147">
        <v>0.75</v>
      </c>
      <c r="F33" s="14" t="s">
        <v>159</v>
      </c>
    </row>
    <row r="34" spans="2:12" x14ac:dyDescent="0.25">
      <c r="C34" t="s">
        <v>5</v>
      </c>
      <c r="E34" s="147">
        <v>0</v>
      </c>
    </row>
    <row r="35" spans="2:12" x14ac:dyDescent="0.25">
      <c r="C35" t="s">
        <v>158</v>
      </c>
      <c r="E35" s="127">
        <v>17050</v>
      </c>
      <c r="F35" s="14" t="s">
        <v>83</v>
      </c>
      <c r="I35" s="57"/>
      <c r="J35" s="57"/>
      <c r="K35" s="57"/>
      <c r="L35" s="57"/>
    </row>
    <row r="36" spans="2:12" x14ac:dyDescent="0.25">
      <c r="E36" s="16"/>
    </row>
    <row r="37" spans="2:12" x14ac:dyDescent="0.25">
      <c r="C37" s="10" t="s">
        <v>150</v>
      </c>
      <c r="D37" s="10"/>
      <c r="E37" s="126">
        <v>11</v>
      </c>
      <c r="F37" s="10" t="s">
        <v>210</v>
      </c>
    </row>
    <row r="38" spans="2:12" x14ac:dyDescent="0.25">
      <c r="C38" s="12" t="s">
        <v>151</v>
      </c>
      <c r="D38" s="10"/>
      <c r="E38" s="126">
        <v>6</v>
      </c>
      <c r="F38" s="10" t="s">
        <v>210</v>
      </c>
      <c r="I38" s="112"/>
    </row>
    <row r="39" spans="2:12" x14ac:dyDescent="0.25">
      <c r="C39" t="s">
        <v>123</v>
      </c>
      <c r="E39" s="49">
        <f>E37*7.5*1.18*$E$16*20</f>
        <v>51011.399999999994</v>
      </c>
    </row>
    <row r="40" spans="2:12" x14ac:dyDescent="0.25">
      <c r="C40" t="s">
        <v>122</v>
      </c>
      <c r="E40" s="49">
        <f>E38*7.5*$E$17*20</f>
        <v>45000</v>
      </c>
      <c r="I40" s="112"/>
    </row>
    <row r="41" spans="2:12" x14ac:dyDescent="0.25">
      <c r="E41" s="16"/>
    </row>
    <row r="42" spans="2:12" x14ac:dyDescent="0.25">
      <c r="B42" t="s">
        <v>86</v>
      </c>
      <c r="C42" t="s">
        <v>91</v>
      </c>
      <c r="E42" s="127">
        <v>32600</v>
      </c>
      <c r="F42" t="s">
        <v>211</v>
      </c>
    </row>
  </sheetData>
  <sheetProtection sheet="1" objects="1" scenarios="1"/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8D45B-9823-475E-906A-E11C3FCA02C0}">
  <dimension ref="A2:L31"/>
  <sheetViews>
    <sheetView workbookViewId="0">
      <selection activeCell="J22" sqref="J22"/>
    </sheetView>
  </sheetViews>
  <sheetFormatPr defaultRowHeight="15" x14ac:dyDescent="0.25"/>
  <cols>
    <col min="1" max="1" width="12.85546875" customWidth="1"/>
    <col min="2" max="2" width="13" customWidth="1"/>
    <col min="3" max="3" width="27.28515625" customWidth="1"/>
    <col min="4" max="4" width="5.5703125" customWidth="1"/>
    <col min="5" max="5" width="15.7109375" customWidth="1"/>
    <col min="6" max="6" width="61.85546875" customWidth="1"/>
    <col min="11" max="11" width="11.28515625" customWidth="1"/>
    <col min="12" max="12" width="12.85546875" customWidth="1"/>
  </cols>
  <sheetData>
    <row r="2" spans="1:11" ht="18.75" x14ac:dyDescent="0.3">
      <c r="A2" s="2" t="s">
        <v>202</v>
      </c>
    </row>
    <row r="4" spans="1:11" ht="15.75" thickBot="1" x14ac:dyDescent="0.3">
      <c r="A4" s="19" t="s">
        <v>41</v>
      </c>
      <c r="B4" s="19"/>
      <c r="C4" s="19" t="s">
        <v>203</v>
      </c>
      <c r="D4" s="19"/>
      <c r="E4" s="19" t="s">
        <v>37</v>
      </c>
      <c r="F4" s="19" t="s">
        <v>38</v>
      </c>
      <c r="G4" s="12"/>
    </row>
    <row r="6" spans="1:11" x14ac:dyDescent="0.25">
      <c r="A6" t="s">
        <v>12</v>
      </c>
      <c r="C6" t="s">
        <v>13</v>
      </c>
      <c r="E6" s="18">
        <f>'Syrup Production'!E14*'Syrup Production'!E22</f>
        <v>2185</v>
      </c>
      <c r="F6" t="s">
        <v>266</v>
      </c>
    </row>
    <row r="7" spans="1:11" x14ac:dyDescent="0.25">
      <c r="C7" t="s">
        <v>133</v>
      </c>
      <c r="E7" s="124">
        <v>28.5</v>
      </c>
      <c r="F7" t="s">
        <v>295</v>
      </c>
      <c r="H7" s="12"/>
      <c r="I7" s="12"/>
      <c r="J7" s="52"/>
      <c r="K7" s="12"/>
    </row>
    <row r="10" spans="1:11" x14ac:dyDescent="0.25">
      <c r="A10" t="s">
        <v>16</v>
      </c>
      <c r="C10" t="s">
        <v>13</v>
      </c>
      <c r="E10" s="18">
        <f>'Syrup Production'!E14*'Syrup Production'!E21</f>
        <v>17480</v>
      </c>
      <c r="F10" t="s">
        <v>266</v>
      </c>
    </row>
    <row r="11" spans="1:11" x14ac:dyDescent="0.25">
      <c r="C11" t="s">
        <v>133</v>
      </c>
      <c r="E11" s="147">
        <v>14.5</v>
      </c>
    </row>
    <row r="14" spans="1:11" x14ac:dyDescent="0.25">
      <c r="A14" t="s">
        <v>18</v>
      </c>
      <c r="C14" t="s">
        <v>13</v>
      </c>
      <c r="E14" s="18">
        <f>'Syrup Production'!E14*'Syrup Production'!E20</f>
        <v>24035.000000000004</v>
      </c>
      <c r="F14" t="s">
        <v>266</v>
      </c>
    </row>
    <row r="15" spans="1:11" x14ac:dyDescent="0.25">
      <c r="C15" t="s">
        <v>133</v>
      </c>
      <c r="E15" s="147">
        <v>9</v>
      </c>
    </row>
    <row r="16" spans="1:11" x14ac:dyDescent="0.25">
      <c r="E16" s="50"/>
    </row>
    <row r="17" spans="1:12" x14ac:dyDescent="0.25">
      <c r="A17" s="1"/>
      <c r="B17" s="1"/>
      <c r="C17" s="1"/>
      <c r="D17" s="1"/>
      <c r="E17" s="51"/>
      <c r="F17" s="1"/>
    </row>
    <row r="18" spans="1:12" ht="18.75" x14ac:dyDescent="0.3">
      <c r="A18" s="2" t="s">
        <v>40</v>
      </c>
      <c r="E18" s="50"/>
    </row>
    <row r="19" spans="1:12" x14ac:dyDescent="0.25">
      <c r="E19" s="50"/>
    </row>
    <row r="20" spans="1:12" ht="15.75" thickBot="1" x14ac:dyDescent="0.3">
      <c r="A20" s="19" t="s">
        <v>41</v>
      </c>
      <c r="B20" s="19"/>
      <c r="C20" s="19" t="s">
        <v>36</v>
      </c>
      <c r="D20" s="19"/>
      <c r="E20" s="19" t="s">
        <v>37</v>
      </c>
      <c r="F20" s="19" t="s">
        <v>38</v>
      </c>
    </row>
    <row r="21" spans="1:12" x14ac:dyDescent="0.25">
      <c r="E21" s="50"/>
    </row>
    <row r="22" spans="1:12" x14ac:dyDescent="0.25">
      <c r="A22" t="s">
        <v>160</v>
      </c>
      <c r="C22" t="s">
        <v>15</v>
      </c>
      <c r="E22" s="127">
        <v>8390</v>
      </c>
      <c r="F22" t="s">
        <v>132</v>
      </c>
      <c r="I22" s="57"/>
      <c r="J22" s="57"/>
      <c r="K22" s="57"/>
      <c r="L22" s="57"/>
    </row>
    <row r="23" spans="1:12" x14ac:dyDescent="0.25">
      <c r="C23" t="s">
        <v>14</v>
      </c>
      <c r="E23" s="127">
        <v>1290</v>
      </c>
      <c r="F23" t="s">
        <v>17</v>
      </c>
      <c r="I23" s="57"/>
      <c r="J23" s="57"/>
      <c r="K23" s="57"/>
      <c r="L23" s="57"/>
    </row>
    <row r="24" spans="1:12" s="24" customFormat="1" x14ac:dyDescent="0.25">
      <c r="E24" s="50"/>
    </row>
    <row r="25" spans="1:12" x14ac:dyDescent="0.25">
      <c r="C25" s="10" t="s">
        <v>150</v>
      </c>
      <c r="D25" s="10"/>
      <c r="E25" s="126">
        <v>3.5</v>
      </c>
      <c r="F25" s="10" t="s">
        <v>210</v>
      </c>
    </row>
    <row r="26" spans="1:12" x14ac:dyDescent="0.25">
      <c r="C26" s="12" t="s">
        <v>151</v>
      </c>
      <c r="D26" s="10"/>
      <c r="E26" s="126">
        <v>0</v>
      </c>
      <c r="F26" s="10" t="s">
        <v>210</v>
      </c>
    </row>
    <row r="27" spans="1:12" x14ac:dyDescent="0.25">
      <c r="C27" t="s">
        <v>123</v>
      </c>
      <c r="E27" s="49">
        <f>E25*7.5*1.18*'Income Statement'!H13*20</f>
        <v>16230.9</v>
      </c>
      <c r="F27" s="10"/>
    </row>
    <row r="28" spans="1:12" x14ac:dyDescent="0.25">
      <c r="C28" t="s">
        <v>122</v>
      </c>
      <c r="E28" s="49">
        <f>E26*7.5*'Income Statement'!H12*20</f>
        <v>0</v>
      </c>
      <c r="F28" s="10"/>
    </row>
    <row r="31" spans="1:12" x14ac:dyDescent="0.25">
      <c r="F31" s="112"/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0B933-68B7-4ECE-87BB-B56C861E3D28}">
  <dimension ref="A1:S61"/>
  <sheetViews>
    <sheetView topLeftCell="A10" workbookViewId="0">
      <selection activeCell="D38" sqref="D38"/>
    </sheetView>
  </sheetViews>
  <sheetFormatPr defaultRowHeight="15" x14ac:dyDescent="0.25"/>
  <cols>
    <col min="1" max="1" width="36.7109375" customWidth="1"/>
    <col min="2" max="2" width="5.85546875" customWidth="1"/>
    <col min="3" max="3" width="13.28515625" customWidth="1"/>
    <col min="4" max="4" width="11.42578125" customWidth="1"/>
    <col min="5" max="5" width="10.140625" style="5" customWidth="1"/>
    <col min="6" max="6" width="9.5703125" style="5" customWidth="1"/>
    <col min="7" max="7" width="3.5703125" customWidth="1"/>
    <col min="8" max="8" width="10.42578125" style="24" customWidth="1"/>
    <col min="9" max="9" width="9.140625" style="24"/>
    <col min="10" max="10" width="8.7109375" style="24" customWidth="1"/>
    <col min="11" max="11" width="4" customWidth="1"/>
    <col min="12" max="13" width="9.140625" customWidth="1"/>
    <col min="14" max="14" width="8.28515625" customWidth="1"/>
    <col min="15" max="15" width="3.140625" customWidth="1"/>
    <col min="18" max="18" width="8.28515625" customWidth="1"/>
    <col min="19" max="19" width="4.28515625" customWidth="1"/>
  </cols>
  <sheetData>
    <row r="1" spans="1:19" ht="15.75" thickBot="1" x14ac:dyDescent="0.3"/>
    <row r="2" spans="1:19" x14ac:dyDescent="0.25">
      <c r="D2" s="26"/>
      <c r="E2" s="77"/>
      <c r="F2" s="78"/>
      <c r="H2" s="166" t="s">
        <v>221</v>
      </c>
      <c r="I2" s="167"/>
      <c r="J2" s="167"/>
      <c r="K2" s="167"/>
      <c r="L2" s="167"/>
      <c r="M2" s="167"/>
      <c r="N2" s="167"/>
      <c r="O2" s="167"/>
      <c r="P2" s="167"/>
      <c r="Q2" s="167"/>
      <c r="R2" s="168"/>
    </row>
    <row r="3" spans="1:19" x14ac:dyDescent="0.25">
      <c r="D3" s="29"/>
      <c r="E3" s="59" t="s">
        <v>141</v>
      </c>
      <c r="F3" s="79"/>
      <c r="H3" s="39"/>
      <c r="I3" s="58" t="s">
        <v>222</v>
      </c>
      <c r="J3" s="12"/>
      <c r="K3" s="10"/>
      <c r="L3" s="10"/>
      <c r="M3" s="59" t="s">
        <v>223</v>
      </c>
      <c r="N3" s="10"/>
      <c r="O3" s="10"/>
      <c r="P3" s="10"/>
      <c r="Q3" s="59" t="s">
        <v>224</v>
      </c>
      <c r="R3" s="30"/>
    </row>
    <row r="4" spans="1:19" x14ac:dyDescent="0.25">
      <c r="D4" s="29"/>
      <c r="E4" s="59"/>
      <c r="F4" s="79"/>
      <c r="H4" s="39"/>
      <c r="I4" s="12" t="s">
        <v>217</v>
      </c>
      <c r="J4" s="12"/>
      <c r="K4" s="10"/>
      <c r="L4" s="10"/>
      <c r="M4" s="10" t="s">
        <v>218</v>
      </c>
      <c r="N4" s="10"/>
      <c r="O4" s="10"/>
      <c r="P4" s="10"/>
      <c r="Q4" s="10" t="s">
        <v>219</v>
      </c>
      <c r="R4" s="30"/>
    </row>
    <row r="5" spans="1:19" ht="15.75" thickBot="1" x14ac:dyDescent="0.3">
      <c r="A5" s="81" t="s">
        <v>96</v>
      </c>
      <c r="B5" s="81"/>
      <c r="C5" s="81" t="s">
        <v>97</v>
      </c>
      <c r="D5" s="60" t="s">
        <v>35</v>
      </c>
      <c r="E5" s="20" t="s">
        <v>95</v>
      </c>
      <c r="F5" s="61" t="s">
        <v>142</v>
      </c>
      <c r="G5" s="20"/>
      <c r="H5" s="60" t="s">
        <v>35</v>
      </c>
      <c r="I5" s="20" t="s">
        <v>95</v>
      </c>
      <c r="J5" s="20" t="s">
        <v>142</v>
      </c>
      <c r="K5" s="20"/>
      <c r="L5" s="20" t="s">
        <v>35</v>
      </c>
      <c r="M5" s="20" t="s">
        <v>95</v>
      </c>
      <c r="N5" s="20" t="s">
        <v>142</v>
      </c>
      <c r="O5" s="20"/>
      <c r="P5" s="20" t="s">
        <v>35</v>
      </c>
      <c r="Q5" s="20" t="s">
        <v>95</v>
      </c>
      <c r="R5" s="61" t="s">
        <v>142</v>
      </c>
      <c r="S5" s="59"/>
    </row>
    <row r="6" spans="1:19" x14ac:dyDescent="0.25">
      <c r="D6" s="80"/>
      <c r="E6" s="59"/>
      <c r="F6" s="79"/>
      <c r="G6" s="5"/>
      <c r="H6" s="39"/>
      <c r="I6" s="12"/>
      <c r="J6" s="12"/>
      <c r="K6" s="10"/>
      <c r="L6" s="10"/>
      <c r="M6" s="10"/>
      <c r="N6" s="10"/>
      <c r="O6" s="10"/>
      <c r="P6" s="10"/>
      <c r="Q6" s="10"/>
      <c r="R6" s="30"/>
    </row>
    <row r="7" spans="1:19" x14ac:dyDescent="0.25">
      <c r="A7" s="4" t="s">
        <v>3</v>
      </c>
      <c r="D7" s="29"/>
      <c r="E7" s="59"/>
      <c r="F7" s="79"/>
      <c r="H7" s="39"/>
      <c r="I7" s="12"/>
      <c r="J7" s="12"/>
      <c r="K7" s="10"/>
      <c r="L7" s="10"/>
      <c r="M7" s="10"/>
      <c r="N7" s="10"/>
      <c r="O7" s="10"/>
      <c r="P7" s="10"/>
      <c r="Q7" s="10"/>
      <c r="R7" s="30"/>
    </row>
    <row r="8" spans="1:19" x14ac:dyDescent="0.25">
      <c r="A8" t="s">
        <v>42</v>
      </c>
      <c r="D8" s="148"/>
      <c r="E8" s="126">
        <v>5</v>
      </c>
      <c r="F8" s="65">
        <f>(D8-(D8*0.1))/E8</f>
        <v>0</v>
      </c>
      <c r="G8" s="15"/>
      <c r="H8" s="62"/>
      <c r="I8" s="63">
        <v>5</v>
      </c>
      <c r="J8" s="64">
        <f>(H8-(H8*0.1))/I8</f>
        <v>0</v>
      </c>
      <c r="K8" s="10"/>
      <c r="L8" s="64">
        <v>552</v>
      </c>
      <c r="M8" s="63">
        <v>5</v>
      </c>
      <c r="N8" s="64">
        <f>(L8-(L8*0.1))/M8</f>
        <v>99.36</v>
      </c>
      <c r="O8" s="10"/>
      <c r="P8" s="64"/>
      <c r="Q8" s="63">
        <v>5</v>
      </c>
      <c r="R8" s="65">
        <v>0</v>
      </c>
    </row>
    <row r="9" spans="1:19" x14ac:dyDescent="0.25">
      <c r="A9" t="s">
        <v>43</v>
      </c>
      <c r="D9" s="148"/>
      <c r="E9" s="126">
        <v>10</v>
      </c>
      <c r="F9" s="65">
        <f t="shared" ref="F9:F50" si="0">(D9-(D9*0.1))/E9</f>
        <v>0</v>
      </c>
      <c r="G9" s="15"/>
      <c r="H9" s="62"/>
      <c r="I9" s="63">
        <v>10</v>
      </c>
      <c r="J9" s="64">
        <f t="shared" ref="J9:J14" si="1">(H9-(H9*0.1))/I9</f>
        <v>0</v>
      </c>
      <c r="K9" s="10"/>
      <c r="L9" s="64">
        <v>81514</v>
      </c>
      <c r="M9" s="63">
        <v>10</v>
      </c>
      <c r="N9" s="64">
        <f t="shared" ref="N9:N14" si="2">(L9-(L9*0.1))/M9</f>
        <v>7336.26</v>
      </c>
      <c r="O9" s="10"/>
      <c r="P9" s="64">
        <v>5000</v>
      </c>
      <c r="Q9" s="63">
        <v>10</v>
      </c>
      <c r="R9" s="65">
        <v>450</v>
      </c>
    </row>
    <row r="10" spans="1:19" x14ac:dyDescent="0.25">
      <c r="A10" t="s">
        <v>44</v>
      </c>
      <c r="D10" s="148"/>
      <c r="E10" s="126">
        <v>10</v>
      </c>
      <c r="F10" s="65">
        <f t="shared" si="0"/>
        <v>0</v>
      </c>
      <c r="G10" s="15"/>
      <c r="H10" s="62"/>
      <c r="I10" s="63">
        <v>10</v>
      </c>
      <c r="J10" s="64">
        <f t="shared" si="1"/>
        <v>0</v>
      </c>
      <c r="K10" s="10"/>
      <c r="L10" s="64"/>
      <c r="M10" s="63">
        <v>10</v>
      </c>
      <c r="N10" s="64">
        <f t="shared" si="2"/>
        <v>0</v>
      </c>
      <c r="O10" s="10"/>
      <c r="P10" s="64"/>
      <c r="Q10" s="63">
        <v>10</v>
      </c>
      <c r="R10" s="65">
        <v>0</v>
      </c>
    </row>
    <row r="11" spans="1:19" x14ac:dyDescent="0.25">
      <c r="A11" t="s">
        <v>45</v>
      </c>
      <c r="D11" s="148"/>
      <c r="E11" s="126">
        <v>20</v>
      </c>
      <c r="F11" s="65">
        <f t="shared" si="0"/>
        <v>0</v>
      </c>
      <c r="G11" s="15"/>
      <c r="H11" s="62"/>
      <c r="I11" s="63">
        <v>20</v>
      </c>
      <c r="J11" s="64">
        <f t="shared" si="1"/>
        <v>0</v>
      </c>
      <c r="K11" s="10"/>
      <c r="L11" s="64"/>
      <c r="M11" s="63">
        <v>20</v>
      </c>
      <c r="N11" s="64">
        <f t="shared" si="2"/>
        <v>0</v>
      </c>
      <c r="O11" s="10"/>
      <c r="P11" s="64">
        <v>6000</v>
      </c>
      <c r="Q11" s="63">
        <v>20</v>
      </c>
      <c r="R11" s="65">
        <v>270</v>
      </c>
    </row>
    <row r="12" spans="1:19" x14ac:dyDescent="0.25">
      <c r="A12" t="s">
        <v>47</v>
      </c>
      <c r="D12" s="148"/>
      <c r="E12" s="126">
        <v>20</v>
      </c>
      <c r="F12" s="65">
        <f t="shared" si="0"/>
        <v>0</v>
      </c>
      <c r="G12" s="15"/>
      <c r="H12" s="62"/>
      <c r="I12" s="63">
        <v>20</v>
      </c>
      <c r="J12" s="64">
        <f t="shared" si="1"/>
        <v>0</v>
      </c>
      <c r="K12" s="10"/>
      <c r="L12" s="64"/>
      <c r="M12" s="63">
        <v>20</v>
      </c>
      <c r="N12" s="64">
        <f t="shared" si="2"/>
        <v>0</v>
      </c>
      <c r="O12" s="10"/>
      <c r="P12" s="64">
        <v>1000</v>
      </c>
      <c r="Q12" s="63">
        <v>20</v>
      </c>
      <c r="R12" s="65">
        <v>45</v>
      </c>
    </row>
    <row r="13" spans="1:19" x14ac:dyDescent="0.25">
      <c r="A13" t="s">
        <v>214</v>
      </c>
      <c r="D13" s="148"/>
      <c r="E13" s="126">
        <v>20</v>
      </c>
      <c r="F13" s="65">
        <f t="shared" si="0"/>
        <v>0</v>
      </c>
      <c r="G13" s="15"/>
      <c r="H13" s="62"/>
      <c r="I13" s="63">
        <v>20</v>
      </c>
      <c r="J13" s="64">
        <f t="shared" si="1"/>
        <v>0</v>
      </c>
      <c r="K13" s="10"/>
      <c r="L13" s="64">
        <v>19000</v>
      </c>
      <c r="M13" s="63">
        <v>20</v>
      </c>
      <c r="N13" s="64">
        <f t="shared" si="2"/>
        <v>855</v>
      </c>
      <c r="O13" s="10"/>
      <c r="P13" s="64"/>
      <c r="Q13" s="63">
        <v>20</v>
      </c>
      <c r="R13" s="65">
        <v>0</v>
      </c>
    </row>
    <row r="14" spans="1:19" x14ac:dyDescent="0.25">
      <c r="A14" t="s">
        <v>292</v>
      </c>
      <c r="D14" s="148"/>
      <c r="E14" s="126">
        <v>10</v>
      </c>
      <c r="F14" s="65">
        <f t="shared" si="0"/>
        <v>0</v>
      </c>
      <c r="G14" s="15"/>
      <c r="H14" s="62"/>
      <c r="I14" s="63">
        <v>10</v>
      </c>
      <c r="J14" s="64">
        <f t="shared" si="1"/>
        <v>0</v>
      </c>
      <c r="K14" s="10"/>
      <c r="L14" s="64"/>
      <c r="M14" s="63">
        <v>10</v>
      </c>
      <c r="N14" s="64">
        <f t="shared" si="2"/>
        <v>0</v>
      </c>
      <c r="O14" s="10"/>
      <c r="P14" s="64">
        <v>400</v>
      </c>
      <c r="Q14" s="63">
        <v>10</v>
      </c>
      <c r="R14" s="65">
        <v>36</v>
      </c>
    </row>
    <row r="15" spans="1:19" x14ac:dyDescent="0.25">
      <c r="D15" s="149"/>
      <c r="E15" s="150"/>
      <c r="F15" s="68"/>
      <c r="G15" s="15"/>
      <c r="H15" s="66"/>
      <c r="I15" s="59"/>
      <c r="J15" s="67"/>
      <c r="K15" s="10"/>
      <c r="L15" s="67"/>
      <c r="M15" s="59"/>
      <c r="N15" s="67"/>
      <c r="O15" s="10"/>
      <c r="P15" s="67"/>
      <c r="Q15" s="59"/>
      <c r="R15" s="68"/>
    </row>
    <row r="16" spans="1:19" x14ac:dyDescent="0.25">
      <c r="A16" s="4" t="s">
        <v>53</v>
      </c>
      <c r="D16" s="149"/>
      <c r="E16" s="150"/>
      <c r="F16" s="68"/>
      <c r="G16" s="15"/>
      <c r="H16" s="66"/>
      <c r="I16" s="59"/>
      <c r="J16" s="67"/>
      <c r="K16" s="10"/>
      <c r="L16" s="67"/>
      <c r="M16" s="59"/>
      <c r="N16" s="67"/>
      <c r="O16" s="10"/>
      <c r="P16" s="67"/>
      <c r="Q16" s="59"/>
      <c r="R16" s="68"/>
    </row>
    <row r="17" spans="1:18" x14ac:dyDescent="0.25">
      <c r="A17" t="s">
        <v>48</v>
      </c>
      <c r="D17" s="148"/>
      <c r="E17" s="126">
        <v>20</v>
      </c>
      <c r="F17" s="65">
        <f t="shared" si="0"/>
        <v>0</v>
      </c>
      <c r="G17" s="15"/>
      <c r="H17" s="62"/>
      <c r="I17" s="63">
        <v>20</v>
      </c>
      <c r="J17" s="64">
        <f t="shared" ref="J17:J26" si="3">(H17-(H17*0.1))/I17</f>
        <v>0</v>
      </c>
      <c r="K17" s="10"/>
      <c r="L17" s="64">
        <v>18415</v>
      </c>
      <c r="M17" s="63">
        <v>20</v>
      </c>
      <c r="N17" s="64">
        <f t="shared" ref="N17:N26" si="4">(L17-(L17*0.1))/M17</f>
        <v>828.67499999999995</v>
      </c>
      <c r="O17" s="10"/>
      <c r="P17" s="64">
        <v>10000</v>
      </c>
      <c r="Q17" s="63">
        <v>20</v>
      </c>
      <c r="R17" s="65">
        <v>450</v>
      </c>
    </row>
    <row r="18" spans="1:18" x14ac:dyDescent="0.25">
      <c r="A18" t="s">
        <v>49</v>
      </c>
      <c r="D18" s="148"/>
      <c r="E18" s="126">
        <v>20</v>
      </c>
      <c r="F18" s="65">
        <f t="shared" si="0"/>
        <v>0</v>
      </c>
      <c r="G18" s="15"/>
      <c r="H18" s="62"/>
      <c r="I18" s="63">
        <v>20</v>
      </c>
      <c r="J18" s="64">
        <f t="shared" si="3"/>
        <v>0</v>
      </c>
      <c r="K18" s="10"/>
      <c r="L18" s="64">
        <v>23728</v>
      </c>
      <c r="M18" s="63">
        <v>20</v>
      </c>
      <c r="N18" s="64">
        <f t="shared" si="4"/>
        <v>1067.76</v>
      </c>
      <c r="O18" s="10"/>
      <c r="P18" s="64">
        <v>8000</v>
      </c>
      <c r="Q18" s="63">
        <v>20</v>
      </c>
      <c r="R18" s="65">
        <v>360</v>
      </c>
    </row>
    <row r="19" spans="1:18" x14ac:dyDescent="0.25">
      <c r="A19" t="s">
        <v>138</v>
      </c>
      <c r="D19" s="148"/>
      <c r="E19" s="126">
        <v>20</v>
      </c>
      <c r="F19" s="65">
        <f t="shared" si="0"/>
        <v>0</v>
      </c>
      <c r="G19" s="15"/>
      <c r="H19" s="62"/>
      <c r="I19" s="63">
        <v>20</v>
      </c>
      <c r="J19" s="64">
        <f t="shared" si="3"/>
        <v>0</v>
      </c>
      <c r="K19" s="10"/>
      <c r="L19" s="64"/>
      <c r="M19" s="63">
        <v>20</v>
      </c>
      <c r="N19" s="64">
        <f t="shared" si="4"/>
        <v>0</v>
      </c>
      <c r="O19" s="10"/>
      <c r="P19" s="64">
        <v>30000</v>
      </c>
      <c r="Q19" s="63">
        <v>20</v>
      </c>
      <c r="R19" s="65">
        <v>1350</v>
      </c>
    </row>
    <row r="20" spans="1:18" x14ac:dyDescent="0.25">
      <c r="A20" t="s">
        <v>139</v>
      </c>
      <c r="D20" s="148"/>
      <c r="E20" s="126">
        <v>20</v>
      </c>
      <c r="F20" s="65">
        <f t="shared" si="0"/>
        <v>0</v>
      </c>
      <c r="G20" s="15"/>
      <c r="H20" s="62"/>
      <c r="I20" s="63">
        <v>20</v>
      </c>
      <c r="J20" s="64">
        <f t="shared" si="3"/>
        <v>0</v>
      </c>
      <c r="K20" s="10"/>
      <c r="L20" s="64">
        <v>37353</v>
      </c>
      <c r="M20" s="63">
        <v>20</v>
      </c>
      <c r="N20" s="64">
        <f t="shared" si="4"/>
        <v>1680.8849999999998</v>
      </c>
      <c r="O20" s="10"/>
      <c r="P20" s="64"/>
      <c r="Q20" s="63">
        <v>20</v>
      </c>
      <c r="R20" s="65">
        <v>0</v>
      </c>
    </row>
    <row r="21" spans="1:18" x14ac:dyDescent="0.25">
      <c r="A21" t="s">
        <v>50</v>
      </c>
      <c r="D21" s="148"/>
      <c r="E21" s="126">
        <v>20</v>
      </c>
      <c r="F21" s="65">
        <f t="shared" si="0"/>
        <v>0</v>
      </c>
      <c r="G21" s="15"/>
      <c r="H21" s="62"/>
      <c r="I21" s="63">
        <v>20</v>
      </c>
      <c r="J21" s="64">
        <f t="shared" si="3"/>
        <v>0</v>
      </c>
      <c r="K21" s="10"/>
      <c r="L21" s="64"/>
      <c r="M21" s="63">
        <v>20</v>
      </c>
      <c r="N21" s="64">
        <f t="shared" si="4"/>
        <v>0</v>
      </c>
      <c r="O21" s="10"/>
      <c r="P21" s="64"/>
      <c r="Q21" s="63">
        <v>20</v>
      </c>
      <c r="R21" s="65">
        <v>0</v>
      </c>
    </row>
    <row r="22" spans="1:18" x14ac:dyDescent="0.25">
      <c r="A22" t="s">
        <v>54</v>
      </c>
      <c r="D22" s="148"/>
      <c r="E22" s="126">
        <v>20</v>
      </c>
      <c r="F22" s="65">
        <f t="shared" si="0"/>
        <v>0</v>
      </c>
      <c r="G22" s="15"/>
      <c r="H22" s="62"/>
      <c r="I22" s="63">
        <v>20</v>
      </c>
      <c r="J22" s="64">
        <f t="shared" si="3"/>
        <v>0</v>
      </c>
      <c r="K22" s="10"/>
      <c r="L22" s="64"/>
      <c r="M22" s="63">
        <v>20</v>
      </c>
      <c r="N22" s="64">
        <f t="shared" si="4"/>
        <v>0</v>
      </c>
      <c r="O22" s="10"/>
      <c r="P22" s="64">
        <v>1500</v>
      </c>
      <c r="Q22" s="63">
        <v>20</v>
      </c>
      <c r="R22" s="65">
        <v>67.5</v>
      </c>
    </row>
    <row r="23" spans="1:18" x14ac:dyDescent="0.25">
      <c r="A23" t="s">
        <v>51</v>
      </c>
      <c r="D23" s="148"/>
      <c r="E23" s="126">
        <v>20</v>
      </c>
      <c r="F23" s="65">
        <f t="shared" si="0"/>
        <v>0</v>
      </c>
      <c r="G23" s="15"/>
      <c r="H23" s="62"/>
      <c r="I23" s="63">
        <v>20</v>
      </c>
      <c r="J23" s="64">
        <f t="shared" si="3"/>
        <v>0</v>
      </c>
      <c r="K23" s="10"/>
      <c r="L23" s="64"/>
      <c r="M23" s="63">
        <v>20</v>
      </c>
      <c r="N23" s="64">
        <f t="shared" si="4"/>
        <v>0</v>
      </c>
      <c r="O23" s="10"/>
      <c r="P23" s="64"/>
      <c r="Q23" s="63">
        <v>20</v>
      </c>
      <c r="R23" s="65">
        <v>0</v>
      </c>
    </row>
    <row r="24" spans="1:18" x14ac:dyDescent="0.25">
      <c r="A24" t="s">
        <v>52</v>
      </c>
      <c r="D24" s="148"/>
      <c r="E24" s="126">
        <v>20</v>
      </c>
      <c r="F24" s="65">
        <f t="shared" si="0"/>
        <v>0</v>
      </c>
      <c r="G24" s="15"/>
      <c r="H24" s="62"/>
      <c r="I24" s="63">
        <v>20</v>
      </c>
      <c r="J24" s="64">
        <f t="shared" si="3"/>
        <v>0</v>
      </c>
      <c r="K24" s="10"/>
      <c r="L24" s="64"/>
      <c r="M24" s="63">
        <v>20</v>
      </c>
      <c r="N24" s="64">
        <f t="shared" si="4"/>
        <v>0</v>
      </c>
      <c r="O24" s="10"/>
      <c r="P24" s="64"/>
      <c r="Q24" s="63">
        <v>20</v>
      </c>
      <c r="R24" s="65">
        <v>0</v>
      </c>
    </row>
    <row r="25" spans="1:18" x14ac:dyDescent="0.25">
      <c r="A25" t="s">
        <v>55</v>
      </c>
      <c r="D25" s="148"/>
      <c r="E25" s="126">
        <v>10</v>
      </c>
      <c r="F25" s="65">
        <f t="shared" si="0"/>
        <v>0</v>
      </c>
      <c r="G25" s="15"/>
      <c r="H25" s="62"/>
      <c r="I25" s="63">
        <v>10</v>
      </c>
      <c r="J25" s="64">
        <f t="shared" si="3"/>
        <v>0</v>
      </c>
      <c r="K25" s="10"/>
      <c r="L25" s="64"/>
      <c r="M25" s="63">
        <v>10</v>
      </c>
      <c r="N25" s="64">
        <f t="shared" si="4"/>
        <v>0</v>
      </c>
      <c r="O25" s="10"/>
      <c r="P25" s="64">
        <v>4000</v>
      </c>
      <c r="Q25" s="63">
        <v>10</v>
      </c>
      <c r="R25" s="65">
        <v>360</v>
      </c>
    </row>
    <row r="26" spans="1:18" x14ac:dyDescent="0.25">
      <c r="A26" t="s">
        <v>144</v>
      </c>
      <c r="D26" s="148">
        <v>740000</v>
      </c>
      <c r="E26" s="126">
        <v>15</v>
      </c>
      <c r="F26" s="65">
        <f t="shared" si="0"/>
        <v>44400</v>
      </c>
      <c r="G26" s="15"/>
      <c r="H26" s="62">
        <v>740000</v>
      </c>
      <c r="I26" s="63">
        <v>15</v>
      </c>
      <c r="J26" s="64">
        <f t="shared" si="3"/>
        <v>44400</v>
      </c>
      <c r="K26" s="10"/>
      <c r="L26" s="64"/>
      <c r="M26" s="63">
        <v>20</v>
      </c>
      <c r="N26" s="64">
        <f t="shared" si="4"/>
        <v>0</v>
      </c>
      <c r="O26" s="10"/>
      <c r="P26" s="64"/>
      <c r="Q26" s="63">
        <v>15</v>
      </c>
      <c r="R26" s="65">
        <v>0</v>
      </c>
    </row>
    <row r="27" spans="1:18" x14ac:dyDescent="0.25">
      <c r="A27" t="s">
        <v>46</v>
      </c>
      <c r="D27" s="148">
        <v>108000</v>
      </c>
      <c r="E27" s="126">
        <v>15</v>
      </c>
      <c r="F27" s="65">
        <f t="shared" ref="F27:F28" si="5">(D27-(D27*0.1))/E27</f>
        <v>6480</v>
      </c>
      <c r="G27" s="15"/>
      <c r="H27" s="62">
        <v>108000</v>
      </c>
      <c r="I27" s="63">
        <v>15</v>
      </c>
      <c r="J27" s="64">
        <f t="shared" ref="J27:J28" si="6">(H27-(H27*0.1))/I27</f>
        <v>6480</v>
      </c>
      <c r="K27" s="10"/>
      <c r="L27" s="64"/>
      <c r="M27" s="63">
        <v>21</v>
      </c>
      <c r="N27" s="64">
        <f t="shared" ref="N27:N28" si="7">(L27-(L27*0.1))/M27</f>
        <v>0</v>
      </c>
      <c r="O27" s="10"/>
      <c r="P27" s="64">
        <v>30000</v>
      </c>
      <c r="Q27" s="63">
        <v>15</v>
      </c>
      <c r="R27" s="65">
        <v>1800</v>
      </c>
    </row>
    <row r="28" spans="1:18" x14ac:dyDescent="0.25">
      <c r="D28" s="148"/>
      <c r="E28" s="126">
        <v>20</v>
      </c>
      <c r="F28" s="65">
        <f t="shared" si="5"/>
        <v>0</v>
      </c>
      <c r="G28" s="15"/>
      <c r="H28" s="62"/>
      <c r="I28" s="63">
        <v>20</v>
      </c>
      <c r="J28" s="64">
        <f t="shared" si="6"/>
        <v>0</v>
      </c>
      <c r="K28" s="10"/>
      <c r="L28" s="64"/>
      <c r="M28" s="63">
        <v>22</v>
      </c>
      <c r="N28" s="64">
        <f t="shared" si="7"/>
        <v>0</v>
      </c>
      <c r="O28" s="10"/>
      <c r="P28" s="64"/>
      <c r="Q28" s="63">
        <v>20</v>
      </c>
      <c r="R28" s="65">
        <v>0</v>
      </c>
    </row>
    <row r="29" spans="1:18" x14ac:dyDescent="0.25">
      <c r="D29" s="149"/>
      <c r="E29" s="150"/>
      <c r="F29" s="68"/>
      <c r="G29" s="15"/>
      <c r="H29" s="66"/>
      <c r="I29" s="59"/>
      <c r="J29" s="67"/>
      <c r="K29" s="10"/>
      <c r="L29" s="67"/>
      <c r="M29" s="59"/>
      <c r="N29" s="67"/>
      <c r="O29" s="10"/>
      <c r="P29" s="67"/>
      <c r="Q29" s="59"/>
      <c r="R29" s="68"/>
    </row>
    <row r="30" spans="1:18" x14ac:dyDescent="0.25">
      <c r="A30" s="4" t="s">
        <v>56</v>
      </c>
      <c r="D30" s="149"/>
      <c r="E30" s="150"/>
      <c r="F30" s="68"/>
      <c r="G30" s="15"/>
      <c r="H30" s="66"/>
      <c r="I30" s="59"/>
      <c r="J30" s="67"/>
      <c r="K30" s="10"/>
      <c r="L30" s="67"/>
      <c r="M30" s="59"/>
      <c r="N30" s="67"/>
      <c r="O30" s="10"/>
      <c r="P30" s="67"/>
      <c r="Q30" s="59"/>
      <c r="R30" s="68"/>
    </row>
    <row r="31" spans="1:18" x14ac:dyDescent="0.25">
      <c r="A31" t="s">
        <v>57</v>
      </c>
      <c r="D31" s="148"/>
      <c r="E31" s="126">
        <v>20</v>
      </c>
      <c r="F31" s="65">
        <f t="shared" si="0"/>
        <v>0</v>
      </c>
      <c r="G31" s="15"/>
      <c r="H31" s="62"/>
      <c r="I31" s="63">
        <v>20</v>
      </c>
      <c r="J31" s="64">
        <f t="shared" ref="J31:J35" si="8">(H31-(H31*0.1))/I31</f>
        <v>0</v>
      </c>
      <c r="K31" s="10"/>
      <c r="L31" s="64"/>
      <c r="M31" s="63">
        <v>20</v>
      </c>
      <c r="N31" s="64">
        <f t="shared" ref="N31:N35" si="9">(L31-(L31*0.1))/M31</f>
        <v>0</v>
      </c>
      <c r="O31" s="10"/>
      <c r="P31" s="64"/>
      <c r="Q31" s="63">
        <v>20</v>
      </c>
      <c r="R31" s="65">
        <v>0</v>
      </c>
    </row>
    <row r="32" spans="1:18" x14ac:dyDescent="0.25">
      <c r="A32" t="s">
        <v>58</v>
      </c>
      <c r="D32" s="148"/>
      <c r="E32" s="126">
        <v>20</v>
      </c>
      <c r="F32" s="65">
        <f t="shared" si="0"/>
        <v>0</v>
      </c>
      <c r="G32" s="15"/>
      <c r="H32" s="62"/>
      <c r="I32" s="63">
        <v>20</v>
      </c>
      <c r="J32" s="64">
        <f t="shared" si="8"/>
        <v>0</v>
      </c>
      <c r="K32" s="10"/>
      <c r="L32" s="64"/>
      <c r="M32" s="63">
        <v>20</v>
      </c>
      <c r="N32" s="64">
        <f t="shared" si="9"/>
        <v>0</v>
      </c>
      <c r="O32" s="10"/>
      <c r="P32" s="64">
        <v>3000</v>
      </c>
      <c r="Q32" s="63">
        <v>20</v>
      </c>
      <c r="R32" s="65">
        <v>135</v>
      </c>
    </row>
    <row r="33" spans="1:18" x14ac:dyDescent="0.25">
      <c r="A33" t="s">
        <v>59</v>
      </c>
      <c r="D33" s="148"/>
      <c r="E33" s="126">
        <v>20</v>
      </c>
      <c r="F33" s="65">
        <f t="shared" si="0"/>
        <v>0</v>
      </c>
      <c r="G33" s="15"/>
      <c r="H33" s="62"/>
      <c r="I33" s="63">
        <v>20</v>
      </c>
      <c r="J33" s="64">
        <f t="shared" si="8"/>
        <v>0</v>
      </c>
      <c r="K33" s="10"/>
      <c r="L33" s="64">
        <v>8567</v>
      </c>
      <c r="M33" s="63">
        <v>20</v>
      </c>
      <c r="N33" s="64">
        <f t="shared" si="9"/>
        <v>385.51499999999999</v>
      </c>
      <c r="O33" s="10"/>
      <c r="P33" s="64"/>
      <c r="Q33" s="63">
        <v>20</v>
      </c>
      <c r="R33" s="65">
        <v>0</v>
      </c>
    </row>
    <row r="34" spans="1:18" x14ac:dyDescent="0.25">
      <c r="A34" t="s">
        <v>215</v>
      </c>
      <c r="D34" s="148"/>
      <c r="E34" s="126">
        <v>10</v>
      </c>
      <c r="F34" s="65">
        <f t="shared" si="0"/>
        <v>0</v>
      </c>
      <c r="G34" s="15"/>
      <c r="H34" s="62"/>
      <c r="I34" s="63">
        <v>10</v>
      </c>
      <c r="J34" s="64">
        <f t="shared" si="8"/>
        <v>0</v>
      </c>
      <c r="K34" s="10"/>
      <c r="L34" s="64">
        <v>12257</v>
      </c>
      <c r="M34" s="63">
        <v>10</v>
      </c>
      <c r="N34" s="64">
        <f t="shared" si="9"/>
        <v>1103.1299999999999</v>
      </c>
      <c r="O34" s="10"/>
      <c r="P34" s="64">
        <v>2500</v>
      </c>
      <c r="Q34" s="63">
        <v>10</v>
      </c>
      <c r="R34" s="65">
        <v>225</v>
      </c>
    </row>
    <row r="35" spans="1:18" x14ac:dyDescent="0.25">
      <c r="A35" t="s">
        <v>293</v>
      </c>
      <c r="D35" s="148"/>
      <c r="E35" s="126">
        <v>10</v>
      </c>
      <c r="F35" s="65">
        <f t="shared" si="0"/>
        <v>0</v>
      </c>
      <c r="G35" s="15"/>
      <c r="H35" s="62"/>
      <c r="I35" s="63">
        <v>10</v>
      </c>
      <c r="J35" s="64">
        <f t="shared" si="8"/>
        <v>0</v>
      </c>
      <c r="K35" s="10"/>
      <c r="L35" s="64"/>
      <c r="M35" s="63">
        <v>10</v>
      </c>
      <c r="N35" s="64">
        <f t="shared" si="9"/>
        <v>0</v>
      </c>
      <c r="O35" s="10"/>
      <c r="P35" s="64">
        <v>75</v>
      </c>
      <c r="Q35" s="63">
        <v>10</v>
      </c>
      <c r="R35" s="65">
        <v>6.75</v>
      </c>
    </row>
    <row r="36" spans="1:18" x14ac:dyDescent="0.25">
      <c r="D36" s="149"/>
      <c r="E36" s="150"/>
      <c r="F36" s="68"/>
      <c r="G36" s="15"/>
      <c r="H36" s="66"/>
      <c r="I36" s="59"/>
      <c r="J36" s="67"/>
      <c r="K36" s="10"/>
      <c r="L36" s="67"/>
      <c r="M36" s="59"/>
      <c r="N36" s="67"/>
      <c r="O36" s="10"/>
      <c r="P36" s="67"/>
      <c r="Q36" s="59"/>
      <c r="R36" s="68"/>
    </row>
    <row r="37" spans="1:18" x14ac:dyDescent="0.25">
      <c r="A37" s="4" t="s">
        <v>60</v>
      </c>
      <c r="D37" s="149"/>
      <c r="E37" s="150"/>
      <c r="F37" s="68"/>
      <c r="G37" s="15"/>
      <c r="H37" s="66"/>
      <c r="I37" s="59"/>
      <c r="J37" s="67"/>
      <c r="K37" s="10"/>
      <c r="L37" s="67"/>
      <c r="M37" s="59"/>
      <c r="N37" s="67"/>
      <c r="O37" s="10"/>
      <c r="P37" s="67"/>
      <c r="Q37" s="59"/>
      <c r="R37" s="68"/>
    </row>
    <row r="38" spans="1:18" x14ac:dyDescent="0.25">
      <c r="A38" t="s">
        <v>61</v>
      </c>
      <c r="D38" s="148"/>
      <c r="E38" s="126">
        <v>20</v>
      </c>
      <c r="F38" s="65">
        <f t="shared" si="0"/>
        <v>0</v>
      </c>
      <c r="G38" s="15"/>
      <c r="H38" s="62"/>
      <c r="I38" s="63">
        <v>20</v>
      </c>
      <c r="J38" s="64">
        <f t="shared" ref="J38" si="10">(H38-(H38*0.1))/I38</f>
        <v>0</v>
      </c>
      <c r="K38" s="10"/>
      <c r="L38" s="64"/>
      <c r="M38" s="63">
        <v>20</v>
      </c>
      <c r="N38" s="64">
        <f t="shared" ref="N38" si="11">(L38-(L38*0.1))/M38</f>
        <v>0</v>
      </c>
      <c r="O38" s="10"/>
      <c r="P38" s="64"/>
      <c r="Q38" s="63">
        <v>20</v>
      </c>
      <c r="R38" s="65">
        <v>0</v>
      </c>
    </row>
    <row r="39" spans="1:18" x14ac:dyDescent="0.25">
      <c r="D39" s="149"/>
      <c r="E39" s="150"/>
      <c r="F39" s="68"/>
      <c r="G39" s="15"/>
      <c r="H39" s="66"/>
      <c r="I39" s="59"/>
      <c r="J39" s="67"/>
      <c r="K39" s="10"/>
      <c r="L39" s="67"/>
      <c r="M39" s="59"/>
      <c r="N39" s="67"/>
      <c r="O39" s="10"/>
      <c r="P39" s="67"/>
      <c r="Q39" s="59"/>
      <c r="R39" s="68"/>
    </row>
    <row r="40" spans="1:18" x14ac:dyDescent="0.25">
      <c r="A40" s="4" t="s">
        <v>62</v>
      </c>
      <c r="D40" s="149"/>
      <c r="E40" s="150"/>
      <c r="F40" s="68"/>
      <c r="G40" s="15"/>
      <c r="H40" s="66"/>
      <c r="I40" s="59"/>
      <c r="J40" s="67"/>
      <c r="K40" s="10"/>
      <c r="L40" s="67"/>
      <c r="M40" s="59"/>
      <c r="N40" s="67"/>
      <c r="O40" s="10"/>
      <c r="P40" s="67"/>
      <c r="Q40" s="59"/>
      <c r="R40" s="68"/>
    </row>
    <row r="41" spans="1:18" x14ac:dyDescent="0.25">
      <c r="A41" t="s">
        <v>63</v>
      </c>
      <c r="D41" s="148"/>
      <c r="E41" s="126">
        <v>5</v>
      </c>
      <c r="F41" s="65">
        <f t="shared" si="0"/>
        <v>0</v>
      </c>
      <c r="G41" s="15"/>
      <c r="H41" s="62"/>
      <c r="I41" s="63">
        <v>5</v>
      </c>
      <c r="J41" s="64">
        <f t="shared" ref="J41:J43" si="12">(H41-(H41*0.1))/I41</f>
        <v>0</v>
      </c>
      <c r="K41" s="10"/>
      <c r="L41" s="64"/>
      <c r="M41" s="63">
        <v>5</v>
      </c>
      <c r="N41" s="64">
        <f t="shared" ref="N41:N43" si="13">(L41-(L41*0.1))/M41</f>
        <v>0</v>
      </c>
      <c r="O41" s="10"/>
      <c r="P41" s="64"/>
      <c r="Q41" s="63">
        <v>5</v>
      </c>
      <c r="R41" s="65">
        <v>0</v>
      </c>
    </row>
    <row r="42" spans="1:18" x14ac:dyDescent="0.25">
      <c r="A42" t="s">
        <v>64</v>
      </c>
      <c r="D42" s="148"/>
      <c r="E42" s="126">
        <v>5</v>
      </c>
      <c r="F42" s="65">
        <f t="shared" si="0"/>
        <v>0</v>
      </c>
      <c r="G42" s="15"/>
      <c r="H42" s="62"/>
      <c r="I42" s="63">
        <v>5</v>
      </c>
      <c r="J42" s="64">
        <f t="shared" si="12"/>
        <v>0</v>
      </c>
      <c r="K42" s="10"/>
      <c r="L42" s="64"/>
      <c r="M42" s="63">
        <v>5</v>
      </c>
      <c r="N42" s="64">
        <f t="shared" si="13"/>
        <v>0</v>
      </c>
      <c r="O42" s="10"/>
      <c r="P42" s="64"/>
      <c r="Q42" s="63">
        <v>5</v>
      </c>
      <c r="R42" s="65">
        <v>0</v>
      </c>
    </row>
    <row r="43" spans="1:18" x14ac:dyDescent="0.25">
      <c r="A43" t="s">
        <v>65</v>
      </c>
      <c r="D43" s="148"/>
      <c r="E43" s="126">
        <v>5</v>
      </c>
      <c r="F43" s="65">
        <f t="shared" si="0"/>
        <v>0</v>
      </c>
      <c r="G43" s="15"/>
      <c r="H43" s="62"/>
      <c r="I43" s="63">
        <v>5</v>
      </c>
      <c r="J43" s="64">
        <f t="shared" si="12"/>
        <v>0</v>
      </c>
      <c r="K43" s="10"/>
      <c r="L43" s="64"/>
      <c r="M43" s="63">
        <v>5</v>
      </c>
      <c r="N43" s="64">
        <f t="shared" si="13"/>
        <v>0</v>
      </c>
      <c r="O43" s="10"/>
      <c r="P43" s="64"/>
      <c r="Q43" s="63">
        <v>5</v>
      </c>
      <c r="R43" s="65">
        <v>0</v>
      </c>
    </row>
    <row r="44" spans="1:18" x14ac:dyDescent="0.25">
      <c r="D44" s="149"/>
      <c r="E44" s="150"/>
      <c r="F44" s="68"/>
      <c r="G44" s="15"/>
      <c r="H44" s="62"/>
      <c r="I44" s="59"/>
      <c r="J44" s="67"/>
      <c r="K44" s="10"/>
      <c r="L44" s="67"/>
      <c r="M44" s="59"/>
      <c r="N44" s="67"/>
      <c r="O44" s="10"/>
      <c r="P44" s="67"/>
      <c r="Q44" s="59"/>
      <c r="R44" s="68"/>
    </row>
    <row r="45" spans="1:18" x14ac:dyDescent="0.25">
      <c r="A45" s="4" t="s">
        <v>66</v>
      </c>
      <c r="D45" s="149"/>
      <c r="E45" s="150"/>
      <c r="F45" s="68"/>
      <c r="G45" s="15"/>
      <c r="H45" s="66"/>
      <c r="I45" s="59"/>
      <c r="J45" s="67"/>
      <c r="K45" s="10"/>
      <c r="L45" s="67"/>
      <c r="M45" s="59"/>
      <c r="N45" s="67"/>
      <c r="O45" s="10"/>
      <c r="P45" s="67"/>
      <c r="Q45" s="59"/>
      <c r="R45" s="68"/>
    </row>
    <row r="46" spans="1:18" x14ac:dyDescent="0.25">
      <c r="A46" t="s">
        <v>67</v>
      </c>
      <c r="D46" s="148">
        <v>610000</v>
      </c>
      <c r="E46" s="126">
        <v>30</v>
      </c>
      <c r="F46" s="65">
        <f t="shared" si="0"/>
        <v>18300</v>
      </c>
      <c r="G46" s="15"/>
      <c r="H46" s="62">
        <v>610000</v>
      </c>
      <c r="I46" s="63">
        <v>30</v>
      </c>
      <c r="J46" s="64">
        <f t="shared" ref="J46:J50" si="14">(H46-(H46*0.1))/I46</f>
        <v>18300</v>
      </c>
      <c r="K46" s="10"/>
      <c r="L46" s="64">
        <v>50000</v>
      </c>
      <c r="M46" s="63">
        <v>40</v>
      </c>
      <c r="N46" s="64">
        <f t="shared" ref="N46:N50" si="15">(L46-(L46*0.1))/M46</f>
        <v>1125</v>
      </c>
      <c r="O46" s="10"/>
      <c r="P46" s="64">
        <v>150000</v>
      </c>
      <c r="Q46" s="63">
        <v>30</v>
      </c>
      <c r="R46" s="65">
        <v>4500</v>
      </c>
    </row>
    <row r="47" spans="1:18" x14ac:dyDescent="0.25">
      <c r="A47" t="s">
        <v>143</v>
      </c>
      <c r="D47" s="148">
        <v>106000</v>
      </c>
      <c r="E47" s="126">
        <v>15</v>
      </c>
      <c r="F47" s="65">
        <f t="shared" ref="F47" si="16">(D47-(D47*0.1))/E47</f>
        <v>6360</v>
      </c>
      <c r="G47" s="15"/>
      <c r="H47" s="62">
        <v>106000</v>
      </c>
      <c r="I47" s="63">
        <v>15</v>
      </c>
      <c r="J47" s="64">
        <f t="shared" si="14"/>
        <v>6360</v>
      </c>
      <c r="K47" s="10"/>
      <c r="L47" s="64"/>
      <c r="M47" s="63">
        <v>40</v>
      </c>
      <c r="N47" s="64">
        <f t="shared" si="15"/>
        <v>0</v>
      </c>
      <c r="O47" s="10"/>
      <c r="P47" s="64">
        <v>10000</v>
      </c>
      <c r="Q47" s="63">
        <v>15</v>
      </c>
      <c r="R47" s="65">
        <v>600</v>
      </c>
    </row>
    <row r="48" spans="1:18" x14ac:dyDescent="0.25">
      <c r="A48" t="s">
        <v>68</v>
      </c>
      <c r="D48" s="148"/>
      <c r="E48" s="126">
        <v>20</v>
      </c>
      <c r="F48" s="65">
        <f t="shared" si="0"/>
        <v>0</v>
      </c>
      <c r="G48" s="15"/>
      <c r="H48" s="62"/>
      <c r="I48" s="63">
        <v>20</v>
      </c>
      <c r="J48" s="64">
        <f t="shared" si="14"/>
        <v>0</v>
      </c>
      <c r="K48" s="10"/>
      <c r="L48" s="64"/>
      <c r="M48" s="63">
        <v>20</v>
      </c>
      <c r="N48" s="64">
        <f t="shared" si="15"/>
        <v>0</v>
      </c>
      <c r="O48" s="10"/>
      <c r="P48" s="64">
        <v>20000</v>
      </c>
      <c r="Q48" s="63">
        <v>20</v>
      </c>
      <c r="R48" s="65">
        <v>900</v>
      </c>
    </row>
    <row r="49" spans="1:18" x14ac:dyDescent="0.25">
      <c r="A49" t="s">
        <v>69</v>
      </c>
      <c r="D49" s="148"/>
      <c r="E49" s="126">
        <v>20</v>
      </c>
      <c r="F49" s="65">
        <f t="shared" si="0"/>
        <v>0</v>
      </c>
      <c r="G49" s="15"/>
      <c r="H49" s="62"/>
      <c r="I49" s="63">
        <v>20</v>
      </c>
      <c r="J49" s="64">
        <f t="shared" si="14"/>
        <v>0</v>
      </c>
      <c r="K49" s="10"/>
      <c r="L49" s="64"/>
      <c r="M49" s="63">
        <v>20</v>
      </c>
      <c r="N49" s="64">
        <f t="shared" si="15"/>
        <v>0</v>
      </c>
      <c r="O49" s="10"/>
      <c r="P49" s="64">
        <v>10000</v>
      </c>
      <c r="Q49" s="63">
        <v>20</v>
      </c>
      <c r="R49" s="65">
        <v>450</v>
      </c>
    </row>
    <row r="50" spans="1:18" x14ac:dyDescent="0.25">
      <c r="A50" t="s">
        <v>70</v>
      </c>
      <c r="D50" s="148"/>
      <c r="E50" s="126">
        <v>20</v>
      </c>
      <c r="F50" s="65">
        <f t="shared" si="0"/>
        <v>0</v>
      </c>
      <c r="G50" s="15"/>
      <c r="H50" s="62"/>
      <c r="I50" s="63">
        <v>20</v>
      </c>
      <c r="J50" s="64">
        <f t="shared" si="14"/>
        <v>0</v>
      </c>
      <c r="K50" s="10"/>
      <c r="L50" s="64">
        <v>20000</v>
      </c>
      <c r="M50" s="63">
        <v>20</v>
      </c>
      <c r="N50" s="64">
        <f t="shared" si="15"/>
        <v>900</v>
      </c>
      <c r="O50" s="10"/>
      <c r="P50" s="64"/>
      <c r="Q50" s="63">
        <v>20</v>
      </c>
      <c r="R50" s="65">
        <v>0</v>
      </c>
    </row>
    <row r="51" spans="1:18" x14ac:dyDescent="0.25">
      <c r="A51" t="s">
        <v>71</v>
      </c>
      <c r="D51" s="148"/>
      <c r="E51" s="126" t="s">
        <v>72</v>
      </c>
      <c r="F51" s="65">
        <v>0</v>
      </c>
      <c r="G51" s="15"/>
      <c r="H51" s="62"/>
      <c r="I51" s="63" t="s">
        <v>72</v>
      </c>
      <c r="J51" s="64">
        <v>0</v>
      </c>
      <c r="K51" s="10"/>
      <c r="L51" s="64"/>
      <c r="M51" s="63" t="s">
        <v>72</v>
      </c>
      <c r="N51" s="64">
        <v>0</v>
      </c>
      <c r="O51" s="10"/>
      <c r="P51" s="64"/>
      <c r="Q51" s="63" t="s">
        <v>72</v>
      </c>
      <c r="R51" s="65">
        <v>0</v>
      </c>
    </row>
    <row r="52" spans="1:18" x14ac:dyDescent="0.25">
      <c r="D52" s="66"/>
      <c r="E52" s="59"/>
      <c r="F52" s="70"/>
      <c r="H52" s="66"/>
      <c r="I52" s="59"/>
      <c r="J52" s="69"/>
      <c r="K52" s="10"/>
      <c r="L52" s="67"/>
      <c r="M52" s="59"/>
      <c r="N52" s="69"/>
      <c r="O52" s="10"/>
      <c r="P52" s="67"/>
      <c r="Q52" s="59"/>
      <c r="R52" s="70"/>
    </row>
    <row r="53" spans="1:18" x14ac:dyDescent="0.25">
      <c r="A53" t="s">
        <v>216</v>
      </c>
      <c r="D53" s="62">
        <f>SUM(D8:D51)</f>
        <v>1564000</v>
      </c>
      <c r="E53" s="63"/>
      <c r="F53" s="65">
        <f>SUM(F8:F51)</f>
        <v>75540</v>
      </c>
      <c r="G53" s="15"/>
      <c r="H53" s="62">
        <f>SUM(H8:H51)</f>
        <v>1564000</v>
      </c>
      <c r="I53" s="63"/>
      <c r="J53" s="64">
        <f>SUM(J8:J51)</f>
        <v>75540</v>
      </c>
      <c r="K53" s="10"/>
      <c r="L53" s="64">
        <f>SUM(L8:L51)</f>
        <v>271386</v>
      </c>
      <c r="M53" s="63"/>
      <c r="N53" s="64">
        <f>SUM(N8:N51)</f>
        <v>15381.584999999997</v>
      </c>
      <c r="O53" s="10"/>
      <c r="P53" s="64">
        <v>291475</v>
      </c>
      <c r="Q53" s="63"/>
      <c r="R53" s="65">
        <v>12005.25</v>
      </c>
    </row>
    <row r="54" spans="1:18" x14ac:dyDescent="0.25">
      <c r="A54" t="s">
        <v>225</v>
      </c>
      <c r="D54" s="71">
        <f>SUM(D8:D38)</f>
        <v>848000</v>
      </c>
      <c r="E54" s="63"/>
      <c r="F54" s="73">
        <f>SUM(F8:F38)</f>
        <v>50880</v>
      </c>
      <c r="H54" s="71">
        <f>SUM(H8:H38)</f>
        <v>848000</v>
      </c>
      <c r="I54" s="63"/>
      <c r="J54" s="72">
        <f>SUM(J8:J38)</f>
        <v>50880</v>
      </c>
      <c r="K54" s="10"/>
      <c r="L54" s="72">
        <f>SUM(L8:L38)</f>
        <v>201386</v>
      </c>
      <c r="M54" s="63"/>
      <c r="N54" s="72">
        <f>SUM(N8:N38)</f>
        <v>13356.584999999997</v>
      </c>
      <c r="O54" s="10"/>
      <c r="P54" s="72">
        <f>SUM(P8:P38)</f>
        <v>101475</v>
      </c>
      <c r="Q54" s="63"/>
      <c r="R54" s="73">
        <f>SUM(R8:R38)</f>
        <v>5555.25</v>
      </c>
    </row>
    <row r="55" spans="1:18" ht="15.75" thickBot="1" x14ac:dyDescent="0.3">
      <c r="A55" t="s">
        <v>220</v>
      </c>
      <c r="D55" s="74">
        <f>D54/'Income Statement'!H5</f>
        <v>22.315789473684209</v>
      </c>
      <c r="E55" s="20"/>
      <c r="F55" s="61"/>
      <c r="H55" s="74">
        <f>H54/38000</f>
        <v>22.315789473684209</v>
      </c>
      <c r="I55" s="75"/>
      <c r="J55" s="75"/>
      <c r="K55" s="19"/>
      <c r="L55" s="76">
        <f>L54/6000</f>
        <v>33.56433333333333</v>
      </c>
      <c r="M55" s="19"/>
      <c r="N55" s="19"/>
      <c r="O55" s="19"/>
      <c r="P55" s="76">
        <f>P54/1400</f>
        <v>72.482142857142861</v>
      </c>
      <c r="Q55" s="19"/>
      <c r="R55" s="40"/>
    </row>
    <row r="58" spans="1:18" x14ac:dyDescent="0.25">
      <c r="A58" t="s">
        <v>38</v>
      </c>
    </row>
    <row r="60" spans="1:18" x14ac:dyDescent="0.25">
      <c r="A60" t="s">
        <v>226</v>
      </c>
    </row>
    <row r="61" spans="1:18" x14ac:dyDescent="0.25">
      <c r="A61" t="s">
        <v>227</v>
      </c>
    </row>
  </sheetData>
  <sheetProtection sheet="1" objects="1" scenarios="1"/>
  <mergeCells count="1">
    <mergeCell ref="H2:R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3E20A-8D7E-489C-BEFA-BD01D067BAF8}">
  <dimension ref="A1:Y55"/>
  <sheetViews>
    <sheetView tabSelected="1" zoomScaleNormal="100" workbookViewId="0">
      <selection activeCell="X17" sqref="X17"/>
    </sheetView>
  </sheetViews>
  <sheetFormatPr defaultRowHeight="15" x14ac:dyDescent="0.25"/>
  <cols>
    <col min="1" max="1" width="19.85546875" customWidth="1"/>
    <col min="2" max="2" width="6.85546875" customWidth="1"/>
    <col min="3" max="3" width="14" customWidth="1"/>
    <col min="6" max="6" width="12.85546875" customWidth="1"/>
    <col min="7" max="7" width="4" customWidth="1"/>
    <col min="8" max="8" width="10.5703125" customWidth="1"/>
    <col min="9" max="9" width="13" customWidth="1"/>
    <col min="10" max="10" width="16.140625" customWidth="1"/>
    <col min="11" max="11" width="4.5703125" customWidth="1"/>
    <col min="12" max="12" width="12.5703125" bestFit="1" customWidth="1"/>
    <col min="13" max="13" width="6.140625" customWidth="1"/>
    <col min="14" max="14" width="16" hidden="1" customWidth="1"/>
    <col min="15" max="15" width="3.7109375" hidden="1" customWidth="1"/>
    <col min="16" max="16" width="11.7109375" hidden="1" customWidth="1"/>
    <col min="17" max="17" width="7.7109375" hidden="1" customWidth="1"/>
    <col min="18" max="18" width="15.7109375" customWidth="1"/>
    <col min="19" max="19" width="5" customWidth="1"/>
    <col min="20" max="20" width="11.5703125" bestFit="1" customWidth="1"/>
  </cols>
  <sheetData>
    <row r="1" spans="1:24" ht="15.75" thickBot="1" x14ac:dyDescent="0.3"/>
    <row r="2" spans="1:24" x14ac:dyDescent="0.25">
      <c r="F2" s="26"/>
      <c r="G2" s="93" t="s">
        <v>231</v>
      </c>
      <c r="H2" s="28"/>
      <c r="J2" s="26"/>
      <c r="K2" s="27"/>
      <c r="L2" s="27"/>
      <c r="M2" s="93" t="s">
        <v>306</v>
      </c>
      <c r="N2" s="27"/>
      <c r="O2" s="27"/>
      <c r="P2" s="27"/>
      <c r="Q2" s="27"/>
      <c r="R2" s="27"/>
      <c r="S2" s="27"/>
      <c r="T2" s="28"/>
    </row>
    <row r="3" spans="1:24" ht="15.75" thickBot="1" x14ac:dyDescent="0.3">
      <c r="F3" s="29"/>
      <c r="G3" s="59" t="s">
        <v>179</v>
      </c>
      <c r="H3" s="30"/>
      <c r="J3" s="29"/>
      <c r="K3" s="59" t="s">
        <v>222</v>
      </c>
      <c r="L3" s="10"/>
      <c r="M3" s="94"/>
      <c r="N3" s="10"/>
      <c r="O3" s="10"/>
      <c r="P3" s="10"/>
      <c r="Q3" s="10"/>
      <c r="R3" s="10"/>
      <c r="S3" s="59" t="s">
        <v>224</v>
      </c>
      <c r="T3" s="30"/>
    </row>
    <row r="4" spans="1:24" ht="15.75" thickBot="1" x14ac:dyDescent="0.3">
      <c r="B4" s="41" t="s">
        <v>228</v>
      </c>
      <c r="C4" s="42"/>
      <c r="D4" s="43"/>
      <c r="F4" s="92"/>
      <c r="G4" s="19"/>
      <c r="H4" s="40"/>
      <c r="I4" s="12"/>
      <c r="J4" s="92"/>
      <c r="K4" s="19"/>
      <c r="L4" s="19"/>
      <c r="M4" s="19"/>
      <c r="N4" s="19" t="s">
        <v>183</v>
      </c>
      <c r="O4" s="19"/>
      <c r="P4" s="19"/>
      <c r="Q4" s="19"/>
      <c r="R4" s="19"/>
      <c r="S4" s="19"/>
      <c r="T4" s="40"/>
    </row>
    <row r="5" spans="1:24" x14ac:dyDescent="0.25">
      <c r="B5" s="151" t="s">
        <v>98</v>
      </c>
      <c r="C5" s="27" t="s">
        <v>124</v>
      </c>
      <c r="D5" s="28"/>
      <c r="F5" s="29" t="s">
        <v>193</v>
      </c>
      <c r="G5" s="10"/>
      <c r="H5" s="154">
        <v>38000</v>
      </c>
      <c r="J5" s="26" t="s">
        <v>182</v>
      </c>
      <c r="K5" s="27"/>
      <c r="L5" s="95">
        <v>38000</v>
      </c>
      <c r="M5" s="27"/>
      <c r="N5" s="27" t="s">
        <v>182</v>
      </c>
      <c r="O5" s="27"/>
      <c r="P5" s="96">
        <v>6000</v>
      </c>
      <c r="Q5" s="27"/>
      <c r="R5" s="27" t="s">
        <v>193</v>
      </c>
      <c r="S5" s="27"/>
      <c r="T5" s="54">
        <v>1400</v>
      </c>
    </row>
    <row r="6" spans="1:24" x14ac:dyDescent="0.25">
      <c r="B6" s="152" t="s">
        <v>98</v>
      </c>
      <c r="C6" s="10" t="s">
        <v>100</v>
      </c>
      <c r="D6" s="30"/>
      <c r="F6" s="29" t="s">
        <v>194</v>
      </c>
      <c r="G6" s="10"/>
      <c r="H6" s="154">
        <v>38000</v>
      </c>
      <c r="J6" s="29" t="s">
        <v>194</v>
      </c>
      <c r="K6" s="10"/>
      <c r="L6" s="82">
        <v>38000</v>
      </c>
      <c r="M6" s="10"/>
      <c r="N6" s="10" t="s">
        <v>194</v>
      </c>
      <c r="O6" s="10"/>
      <c r="P6" s="83"/>
      <c r="Q6" s="10"/>
      <c r="R6" s="10" t="s">
        <v>194</v>
      </c>
      <c r="S6" s="10"/>
      <c r="T6" s="48">
        <v>0</v>
      </c>
    </row>
    <row r="7" spans="1:24" x14ac:dyDescent="0.25">
      <c r="B7" s="152" t="s">
        <v>98</v>
      </c>
      <c r="C7" s="10" t="s">
        <v>175</v>
      </c>
      <c r="D7" s="30"/>
      <c r="F7" s="29" t="s">
        <v>180</v>
      </c>
      <c r="G7" s="10"/>
      <c r="H7" s="155">
        <v>1.1499999999999999</v>
      </c>
      <c r="J7" s="29" t="s">
        <v>180</v>
      </c>
      <c r="K7" s="10"/>
      <c r="L7" s="84">
        <v>1.1499999999999999</v>
      </c>
      <c r="M7" s="10"/>
      <c r="N7" s="10" t="s">
        <v>180</v>
      </c>
      <c r="O7" s="10"/>
      <c r="P7" s="85">
        <v>1.1499999999999999</v>
      </c>
      <c r="Q7" s="10"/>
      <c r="R7" s="10" t="s">
        <v>180</v>
      </c>
      <c r="S7" s="10"/>
      <c r="T7" s="55">
        <v>0.7</v>
      </c>
    </row>
    <row r="8" spans="1:24" ht="15.75" thickBot="1" x14ac:dyDescent="0.3">
      <c r="B8" s="153" t="s">
        <v>98</v>
      </c>
      <c r="C8" s="19" t="s">
        <v>176</v>
      </c>
      <c r="D8" s="40"/>
      <c r="F8" s="29" t="s">
        <v>181</v>
      </c>
      <c r="G8" s="10"/>
      <c r="H8" s="48">
        <f>'Syrup Production'!E14</f>
        <v>43700</v>
      </c>
      <c r="J8" s="29" t="s">
        <v>181</v>
      </c>
      <c r="K8" s="10"/>
      <c r="L8" s="82">
        <v>44000</v>
      </c>
      <c r="M8" s="10"/>
      <c r="N8" s="10" t="s">
        <v>181</v>
      </c>
      <c r="O8" s="10"/>
      <c r="P8" s="83"/>
      <c r="Q8" s="10"/>
      <c r="R8" s="10" t="s">
        <v>181</v>
      </c>
      <c r="S8" s="10"/>
      <c r="T8" s="48">
        <v>979.99999999999989</v>
      </c>
    </row>
    <row r="9" spans="1:24" x14ac:dyDescent="0.25">
      <c r="F9" s="29" t="s">
        <v>190</v>
      </c>
      <c r="G9" s="10"/>
      <c r="H9" s="156">
        <v>0.05</v>
      </c>
      <c r="J9" s="29" t="s">
        <v>199</v>
      </c>
      <c r="K9" s="10"/>
      <c r="L9" s="86">
        <v>90000</v>
      </c>
      <c r="M9" s="10"/>
      <c r="N9" s="10" t="s">
        <v>199</v>
      </c>
      <c r="O9" s="10"/>
      <c r="P9" s="87">
        <v>9</v>
      </c>
      <c r="Q9" s="10"/>
      <c r="R9" s="10" t="s">
        <v>199</v>
      </c>
      <c r="S9" s="10"/>
      <c r="T9" s="56">
        <v>13200</v>
      </c>
    </row>
    <row r="10" spans="1:24" x14ac:dyDescent="0.25">
      <c r="F10" s="29" t="s">
        <v>191</v>
      </c>
      <c r="G10" s="10"/>
      <c r="H10" s="156">
        <v>0.4</v>
      </c>
      <c r="J10" s="29" t="s">
        <v>198</v>
      </c>
      <c r="K10" s="10"/>
      <c r="L10" s="86">
        <v>100575</v>
      </c>
      <c r="M10" s="10"/>
      <c r="N10" s="10" t="s">
        <v>198</v>
      </c>
      <c r="O10" s="10"/>
      <c r="P10" s="87">
        <v>10</v>
      </c>
      <c r="Q10" s="10"/>
      <c r="R10" s="10" t="s">
        <v>198</v>
      </c>
      <c r="S10" s="10"/>
      <c r="T10" s="56">
        <v>0</v>
      </c>
    </row>
    <row r="11" spans="1:24" x14ac:dyDescent="0.25">
      <c r="F11" s="29" t="s">
        <v>192</v>
      </c>
      <c r="G11" s="10"/>
      <c r="H11" s="156">
        <v>0.55000000000000004</v>
      </c>
      <c r="J11" s="29" t="s">
        <v>212</v>
      </c>
      <c r="K11" s="10"/>
      <c r="L11" s="86">
        <v>39104</v>
      </c>
      <c r="M11" s="10"/>
      <c r="N11" s="10"/>
      <c r="O11" s="10"/>
      <c r="P11" s="10"/>
      <c r="Q11" s="10"/>
      <c r="R11" s="10" t="s">
        <v>212</v>
      </c>
      <c r="S11" s="12"/>
      <c r="T11" s="56">
        <v>0</v>
      </c>
    </row>
    <row r="12" spans="1:24" x14ac:dyDescent="0.25">
      <c r="F12" s="39" t="s">
        <v>201</v>
      </c>
      <c r="H12" s="157">
        <v>50</v>
      </c>
      <c r="J12" s="29" t="s">
        <v>213</v>
      </c>
      <c r="K12" s="10"/>
      <c r="L12" s="86">
        <v>75540</v>
      </c>
      <c r="M12" s="10"/>
      <c r="N12" s="10"/>
      <c r="O12" s="10"/>
      <c r="P12" s="10"/>
      <c r="Q12" s="10"/>
      <c r="R12" s="10" t="s">
        <v>213</v>
      </c>
      <c r="S12" s="12"/>
      <c r="T12" s="56">
        <v>12005</v>
      </c>
    </row>
    <row r="13" spans="1:24" x14ac:dyDescent="0.25">
      <c r="F13" s="29" t="s">
        <v>200</v>
      </c>
      <c r="G13" s="10"/>
      <c r="H13" s="157">
        <v>26.2</v>
      </c>
      <c r="J13" s="29"/>
      <c r="K13" s="10"/>
      <c r="L13" s="10"/>
      <c r="M13" s="10"/>
      <c r="N13" s="10"/>
      <c r="O13" s="10"/>
      <c r="P13" s="10"/>
      <c r="Q13" s="10"/>
      <c r="R13" s="12"/>
      <c r="S13" s="12"/>
      <c r="T13" s="53"/>
    </row>
    <row r="14" spans="1:24" x14ac:dyDescent="0.25">
      <c r="A14" s="3" t="s">
        <v>21</v>
      </c>
      <c r="F14" s="29"/>
      <c r="G14" s="10"/>
      <c r="H14" s="30"/>
      <c r="J14" s="37"/>
      <c r="K14" s="25"/>
      <c r="L14" s="25"/>
      <c r="M14" s="25"/>
      <c r="N14" s="25"/>
      <c r="O14" s="25"/>
      <c r="P14" s="12"/>
      <c r="Q14" s="12"/>
      <c r="R14" s="10"/>
      <c r="S14" s="10"/>
      <c r="T14" s="30"/>
      <c r="X14" s="165"/>
    </row>
    <row r="15" spans="1:24" x14ac:dyDescent="0.25">
      <c r="B15" t="s">
        <v>12</v>
      </c>
      <c r="F15" s="31">
        <f>(Sales!E6*Sales!E7)</f>
        <v>62272.5</v>
      </c>
      <c r="G15" s="10"/>
      <c r="H15" s="30"/>
      <c r="J15" s="31">
        <v>66621</v>
      </c>
      <c r="K15" s="12"/>
      <c r="L15" s="12"/>
      <c r="M15" s="12"/>
      <c r="N15" s="87">
        <v>100</v>
      </c>
      <c r="O15" s="12"/>
      <c r="P15" s="12"/>
      <c r="Q15" s="12"/>
      <c r="R15" s="86">
        <v>30134.999999999996</v>
      </c>
      <c r="S15" s="10"/>
      <c r="T15" s="30"/>
      <c r="X15" s="165"/>
    </row>
    <row r="16" spans="1:24" x14ac:dyDescent="0.25">
      <c r="B16" t="s">
        <v>16</v>
      </c>
      <c r="F16" s="31">
        <f>Sales!E10*Sales!E11</f>
        <v>253460</v>
      </c>
      <c r="G16" s="10"/>
      <c r="H16" s="30"/>
      <c r="J16" s="31">
        <v>249964</v>
      </c>
      <c r="K16" s="12"/>
      <c r="L16" s="12"/>
      <c r="M16" s="12"/>
      <c r="N16" s="87">
        <v>0</v>
      </c>
      <c r="O16" s="12"/>
      <c r="P16" s="12"/>
      <c r="Q16" s="12"/>
      <c r="R16" s="86">
        <v>0</v>
      </c>
      <c r="S16" s="10"/>
      <c r="T16" s="30"/>
    </row>
    <row r="17" spans="1:20" x14ac:dyDescent="0.25">
      <c r="B17" s="6" t="s">
        <v>18</v>
      </c>
      <c r="C17" s="6"/>
      <c r="D17" s="6"/>
      <c r="E17" s="6"/>
      <c r="F17" s="32">
        <f>Sales!E14*Sales!E15</f>
        <v>216315.00000000003</v>
      </c>
      <c r="G17" s="10"/>
      <c r="H17" s="30"/>
      <c r="J17" s="31">
        <v>216315</v>
      </c>
      <c r="K17" s="12"/>
      <c r="L17" s="12"/>
      <c r="M17" s="12"/>
      <c r="N17" s="87">
        <v>0</v>
      </c>
      <c r="O17" s="12"/>
      <c r="P17" s="12"/>
      <c r="Q17" s="12"/>
      <c r="R17" s="86">
        <v>0</v>
      </c>
      <c r="S17" s="10"/>
      <c r="T17" s="30"/>
    </row>
    <row r="18" spans="1:20" ht="15.75" thickBot="1" x14ac:dyDescent="0.3">
      <c r="B18" s="8" t="s">
        <v>75</v>
      </c>
      <c r="C18" s="8"/>
      <c r="D18" s="8"/>
      <c r="E18" s="8"/>
      <c r="F18" s="33">
        <f>SUM(F15:F17)</f>
        <v>532047.5</v>
      </c>
      <c r="G18" s="10"/>
      <c r="H18" s="34">
        <f>F18/F18</f>
        <v>1</v>
      </c>
      <c r="J18" s="33">
        <f>SUM(J15:J17)</f>
        <v>532900</v>
      </c>
      <c r="K18" s="106"/>
      <c r="L18" s="103">
        <f>J18/J18</f>
        <v>1</v>
      </c>
      <c r="M18" s="12"/>
      <c r="N18" s="88">
        <f>SUM(N15:N17)</f>
        <v>100</v>
      </c>
      <c r="O18" s="12"/>
      <c r="P18" s="89">
        <f>N18/N18</f>
        <v>1</v>
      </c>
      <c r="Q18" s="12"/>
      <c r="R18" s="104">
        <f>SUM(R15:R17)</f>
        <v>30134.999999999996</v>
      </c>
      <c r="S18" s="7"/>
      <c r="T18" s="105">
        <f>R18/R18</f>
        <v>1</v>
      </c>
    </row>
    <row r="19" spans="1:20" x14ac:dyDescent="0.25">
      <c r="F19" s="35"/>
      <c r="G19" s="10"/>
      <c r="H19" s="30"/>
      <c r="J19" s="38"/>
      <c r="K19" s="12"/>
      <c r="L19" s="10"/>
      <c r="M19" s="12"/>
      <c r="N19" s="90"/>
      <c r="O19" s="12"/>
      <c r="P19" s="10"/>
      <c r="Q19" s="12"/>
      <c r="R19" s="91"/>
      <c r="S19" s="10"/>
      <c r="T19" s="30"/>
    </row>
    <row r="20" spans="1:20" x14ac:dyDescent="0.25">
      <c r="A20" s="3" t="s">
        <v>22</v>
      </c>
      <c r="F20" s="35"/>
      <c r="G20" s="10"/>
      <c r="H20" s="30"/>
      <c r="J20" s="38"/>
      <c r="K20" s="12"/>
      <c r="L20" s="10"/>
      <c r="M20" s="12"/>
      <c r="N20" s="90"/>
      <c r="O20" s="12"/>
      <c r="P20" s="10"/>
      <c r="Q20" s="12"/>
      <c r="R20" s="91"/>
      <c r="S20" s="10"/>
      <c r="T20" s="30"/>
    </row>
    <row r="21" spans="1:20" x14ac:dyDescent="0.25">
      <c r="B21" t="s">
        <v>165</v>
      </c>
      <c r="F21" s="31">
        <f>'Syrup Production'!E14*'Syrup Production'!E21*'Syrup Production'!E31</f>
        <v>25870.400000000001</v>
      </c>
      <c r="G21" s="10"/>
      <c r="H21" s="30"/>
      <c r="J21" s="31">
        <v>26597</v>
      </c>
      <c r="K21" s="12"/>
      <c r="L21" s="10"/>
      <c r="M21" s="12"/>
      <c r="N21" s="87">
        <v>0</v>
      </c>
      <c r="O21" s="12"/>
      <c r="P21" s="10"/>
      <c r="Q21" s="12"/>
      <c r="R21" s="86">
        <v>0</v>
      </c>
      <c r="S21" s="10"/>
      <c r="T21" s="30"/>
    </row>
    <row r="22" spans="1:20" x14ac:dyDescent="0.25">
      <c r="B22" t="s">
        <v>166</v>
      </c>
      <c r="F22" s="31">
        <f>'Syrup Production'!E14*'Syrup Production'!E22*'Syrup Production'!E32</f>
        <v>5134.75</v>
      </c>
      <c r="G22" s="10"/>
      <c r="H22" s="30"/>
      <c r="J22" s="31">
        <v>4694</v>
      </c>
      <c r="K22" s="12"/>
      <c r="L22" s="10"/>
      <c r="M22" s="12"/>
      <c r="N22" s="87">
        <v>0</v>
      </c>
      <c r="O22" s="12"/>
      <c r="P22" s="10"/>
      <c r="Q22" s="12"/>
      <c r="R22" s="86">
        <v>1274</v>
      </c>
      <c r="S22" s="10"/>
      <c r="T22" s="30"/>
    </row>
    <row r="23" spans="1:20" x14ac:dyDescent="0.25">
      <c r="B23" t="s">
        <v>177</v>
      </c>
      <c r="F23" s="31">
        <f>Sales!E22</f>
        <v>8390</v>
      </c>
      <c r="G23" s="10"/>
      <c r="H23" s="30"/>
      <c r="J23" s="31">
        <v>8597</v>
      </c>
      <c r="K23" s="12"/>
      <c r="L23" s="10"/>
      <c r="M23" s="12"/>
      <c r="N23" s="87">
        <v>0</v>
      </c>
      <c r="O23" s="12"/>
      <c r="P23" s="10"/>
      <c r="Q23" s="12"/>
      <c r="R23" s="86">
        <v>0</v>
      </c>
      <c r="S23" s="10"/>
      <c r="T23" s="30"/>
    </row>
    <row r="24" spans="1:20" x14ac:dyDescent="0.25">
      <c r="B24" t="s">
        <v>178</v>
      </c>
      <c r="F24" s="31">
        <f>Sales!E23</f>
        <v>1290</v>
      </c>
      <c r="G24" s="10"/>
      <c r="H24" s="30"/>
      <c r="J24" s="31">
        <v>1185</v>
      </c>
      <c r="K24" s="12"/>
      <c r="L24" s="10"/>
      <c r="M24" s="12"/>
      <c r="N24" s="87">
        <v>0</v>
      </c>
      <c r="O24" s="12"/>
      <c r="P24" s="10"/>
      <c r="Q24" s="12"/>
      <c r="R24" s="86">
        <v>900</v>
      </c>
      <c r="S24" s="10"/>
      <c r="T24" s="30"/>
    </row>
    <row r="25" spans="1:20" x14ac:dyDescent="0.25">
      <c r="B25" t="s">
        <v>167</v>
      </c>
      <c r="F25" s="31">
        <f>'Sap Production'!E37</f>
        <v>0</v>
      </c>
      <c r="G25" s="10"/>
      <c r="H25" s="30"/>
      <c r="J25" s="31"/>
      <c r="K25" s="12"/>
      <c r="L25" s="10"/>
      <c r="M25" s="12"/>
      <c r="N25" s="87">
        <v>0</v>
      </c>
      <c r="O25" s="12"/>
      <c r="P25" s="10"/>
      <c r="Q25" s="12"/>
      <c r="R25" s="86">
        <v>0</v>
      </c>
      <c r="S25" s="10"/>
      <c r="T25" s="30"/>
    </row>
    <row r="26" spans="1:20" x14ac:dyDescent="0.25">
      <c r="B26" t="s">
        <v>163</v>
      </c>
      <c r="F26" s="31">
        <f>'Syrup Production'!E14*'Syrup Production'!E33</f>
        <v>32775</v>
      </c>
      <c r="G26" s="10"/>
      <c r="H26" s="30"/>
      <c r="J26" s="31">
        <v>33160</v>
      </c>
      <c r="K26" s="10"/>
      <c r="L26" s="10"/>
      <c r="M26" s="10"/>
      <c r="N26" s="87">
        <v>0</v>
      </c>
      <c r="O26" s="10"/>
      <c r="P26" s="10"/>
      <c r="Q26" s="10"/>
      <c r="R26" s="86">
        <v>392</v>
      </c>
      <c r="S26" s="10"/>
      <c r="T26" s="30"/>
    </row>
    <row r="27" spans="1:20" x14ac:dyDescent="0.25">
      <c r="B27" s="9" t="s">
        <v>73</v>
      </c>
      <c r="C27" s="9"/>
      <c r="D27" s="9"/>
      <c r="E27" s="9"/>
      <c r="F27" s="36">
        <f>SUM(F21:F26)</f>
        <v>73460.149999999994</v>
      </c>
      <c r="G27" s="10"/>
      <c r="H27" s="34">
        <f>F27/F18</f>
        <v>0.13807066098421664</v>
      </c>
      <c r="J27" s="36">
        <f>SUM(J21:J26)</f>
        <v>74233</v>
      </c>
      <c r="K27" s="99"/>
      <c r="L27" s="100">
        <f>J27/J18</f>
        <v>0.1393000562957403</v>
      </c>
      <c r="M27" s="10"/>
      <c r="N27" s="88">
        <f>SUM(N21:N26)</f>
        <v>0</v>
      </c>
      <c r="O27" s="10"/>
      <c r="P27" s="89">
        <f>N27/N18</f>
        <v>0</v>
      </c>
      <c r="Q27" s="10"/>
      <c r="R27" s="101">
        <f>SUM(R21:R26)</f>
        <v>2566</v>
      </c>
      <c r="S27" s="99"/>
      <c r="T27" s="102">
        <f>R27/R18</f>
        <v>8.5150157624025224E-2</v>
      </c>
    </row>
    <row r="28" spans="1:20" x14ac:dyDescent="0.25">
      <c r="F28" s="35"/>
      <c r="G28" s="10"/>
      <c r="H28" s="30"/>
      <c r="J28" s="35"/>
      <c r="K28" s="10"/>
      <c r="L28" s="10"/>
      <c r="M28" s="10"/>
      <c r="N28" s="91"/>
      <c r="O28" s="10"/>
      <c r="P28" s="10"/>
      <c r="Q28" s="10"/>
      <c r="R28" s="91"/>
      <c r="S28" s="10"/>
      <c r="T28" s="30"/>
    </row>
    <row r="29" spans="1:20" ht="15.75" thickBot="1" x14ac:dyDescent="0.3">
      <c r="B29" s="8" t="s">
        <v>74</v>
      </c>
      <c r="C29" s="8"/>
      <c r="D29" s="8"/>
      <c r="E29" s="8"/>
      <c r="F29" s="33">
        <f>F18-F27</f>
        <v>458587.35</v>
      </c>
      <c r="G29" s="10"/>
      <c r="H29" s="34">
        <f>F29/F18</f>
        <v>0.86192933901578328</v>
      </c>
      <c r="J29" s="33">
        <f>J18-J27</f>
        <v>458667</v>
      </c>
      <c r="K29" s="7"/>
      <c r="L29" s="103">
        <f>J29/J18</f>
        <v>0.86069994370425973</v>
      </c>
      <c r="M29" s="10"/>
      <c r="N29" s="88">
        <f>N18-N27</f>
        <v>100</v>
      </c>
      <c r="O29" s="10"/>
      <c r="P29" s="89">
        <f>N29/N18</f>
        <v>1</v>
      </c>
      <c r="Q29" s="10"/>
      <c r="R29" s="104">
        <f>R18-R27</f>
        <v>27568.999999999996</v>
      </c>
      <c r="S29" s="7"/>
      <c r="T29" s="105">
        <f>R29/R18</f>
        <v>0.91484984237597478</v>
      </c>
    </row>
    <row r="30" spans="1:20" x14ac:dyDescent="0.25">
      <c r="F30" s="35"/>
      <c r="G30" s="10"/>
      <c r="H30" s="30"/>
      <c r="J30" s="35"/>
      <c r="K30" s="10"/>
      <c r="L30" s="10"/>
      <c r="M30" s="10"/>
      <c r="N30" s="91"/>
      <c r="O30" s="10"/>
      <c r="P30" s="10"/>
      <c r="Q30" s="10"/>
      <c r="R30" s="91"/>
      <c r="S30" s="10"/>
      <c r="T30" s="30"/>
    </row>
    <row r="31" spans="1:20" x14ac:dyDescent="0.25">
      <c r="A31" s="3" t="s">
        <v>23</v>
      </c>
      <c r="F31" s="35"/>
      <c r="G31" s="10"/>
      <c r="H31" s="30"/>
      <c r="J31" s="35"/>
      <c r="K31" s="10"/>
      <c r="L31" s="10"/>
      <c r="M31" s="10"/>
      <c r="N31" s="91"/>
      <c r="O31" s="10"/>
      <c r="P31" s="10"/>
      <c r="Q31" s="10"/>
      <c r="R31" s="91"/>
      <c r="S31" s="10"/>
      <c r="T31" s="30"/>
    </row>
    <row r="32" spans="1:20" x14ac:dyDescent="0.25">
      <c r="A32" s="3"/>
      <c r="B32" t="s">
        <v>152</v>
      </c>
      <c r="F32" s="31">
        <f>'Sap Production'!E21</f>
        <v>31540</v>
      </c>
      <c r="G32" s="10"/>
      <c r="H32" s="30"/>
      <c r="J32" s="31">
        <v>31504</v>
      </c>
      <c r="K32" s="10"/>
      <c r="L32" s="10"/>
      <c r="M32" s="10"/>
      <c r="N32" s="87">
        <v>0</v>
      </c>
      <c r="O32" s="10"/>
      <c r="P32" s="10"/>
      <c r="Q32" s="10"/>
      <c r="R32" s="86">
        <v>2700</v>
      </c>
      <c r="S32" s="10"/>
      <c r="T32" s="30"/>
    </row>
    <row r="33" spans="1:25" x14ac:dyDescent="0.25">
      <c r="A33" s="3"/>
      <c r="B33" t="s">
        <v>161</v>
      </c>
      <c r="F33" s="31">
        <f>'Sap Production'!E22</f>
        <v>9912</v>
      </c>
      <c r="G33" s="10"/>
      <c r="H33" s="30"/>
      <c r="J33" s="31">
        <v>9912</v>
      </c>
      <c r="K33" s="10"/>
      <c r="L33" s="10"/>
      <c r="M33" s="10"/>
      <c r="N33" s="87">
        <v>0</v>
      </c>
      <c r="O33" s="10"/>
      <c r="P33" s="10"/>
      <c r="Q33" s="10"/>
      <c r="R33" s="86">
        <v>800</v>
      </c>
      <c r="S33" s="10"/>
      <c r="T33" s="30"/>
    </row>
    <row r="34" spans="1:25" x14ac:dyDescent="0.25">
      <c r="A34" s="3"/>
      <c r="B34" t="s">
        <v>162</v>
      </c>
      <c r="F34" s="31">
        <f>'Sap Production'!E23*'Sap Production'!E13</f>
        <v>41040</v>
      </c>
      <c r="G34" s="10"/>
      <c r="H34" s="30"/>
      <c r="J34" s="31">
        <v>41098</v>
      </c>
      <c r="K34" s="10"/>
      <c r="L34" s="10"/>
      <c r="M34" s="10"/>
      <c r="N34" s="87">
        <v>0</v>
      </c>
      <c r="O34" s="10"/>
      <c r="P34" s="10"/>
      <c r="Q34" s="10"/>
      <c r="R34" s="86">
        <v>0</v>
      </c>
      <c r="S34" s="10"/>
      <c r="T34" s="30"/>
    </row>
    <row r="35" spans="1:25" x14ac:dyDescent="0.25">
      <c r="A35" s="3"/>
      <c r="B35" t="s">
        <v>164</v>
      </c>
      <c r="F35" s="31">
        <f>'Syrup Production'!E35</f>
        <v>17050</v>
      </c>
      <c r="G35" s="10"/>
      <c r="H35" s="30"/>
      <c r="J35" s="31">
        <v>16818</v>
      </c>
      <c r="K35" s="10"/>
      <c r="L35" s="10"/>
      <c r="M35" s="10"/>
      <c r="N35" s="87">
        <v>0</v>
      </c>
      <c r="O35" s="10"/>
      <c r="P35" s="10"/>
      <c r="Q35" s="10"/>
      <c r="R35" s="86">
        <v>1900</v>
      </c>
      <c r="S35" s="10"/>
      <c r="T35" s="30"/>
      <c r="V35" s="12"/>
      <c r="W35" s="12"/>
      <c r="X35" s="12"/>
      <c r="Y35" s="12"/>
    </row>
    <row r="36" spans="1:25" x14ac:dyDescent="0.25">
      <c r="B36" t="s">
        <v>24</v>
      </c>
      <c r="F36" s="158">
        <v>3480</v>
      </c>
      <c r="G36" s="10"/>
      <c r="H36" s="30"/>
      <c r="J36" s="31">
        <v>3480</v>
      </c>
      <c r="K36" s="10"/>
      <c r="L36" s="10"/>
      <c r="M36" s="10"/>
      <c r="N36" s="87">
        <v>0</v>
      </c>
      <c r="O36" s="10"/>
      <c r="P36" s="10"/>
      <c r="Q36" s="10"/>
      <c r="R36" s="86">
        <v>700</v>
      </c>
      <c r="S36" s="10"/>
      <c r="T36" s="30"/>
      <c r="V36" s="12"/>
      <c r="W36" s="12"/>
      <c r="X36" s="90"/>
      <c r="Y36" s="12"/>
    </row>
    <row r="37" spans="1:25" x14ac:dyDescent="0.25">
      <c r="B37" t="s">
        <v>25</v>
      </c>
      <c r="F37" s="158">
        <v>2667</v>
      </c>
      <c r="G37" s="10"/>
      <c r="H37" s="30"/>
      <c r="J37" s="31">
        <v>2667</v>
      </c>
      <c r="K37" s="10"/>
      <c r="L37" s="10"/>
      <c r="M37" s="10"/>
      <c r="N37" s="87">
        <v>0</v>
      </c>
      <c r="O37" s="10"/>
      <c r="P37" s="10"/>
      <c r="Q37" s="10"/>
      <c r="R37" s="86">
        <v>0</v>
      </c>
      <c r="S37" s="10"/>
      <c r="T37" s="30"/>
      <c r="V37" s="12"/>
      <c r="W37" s="12"/>
      <c r="X37" s="90"/>
      <c r="Y37" s="12"/>
    </row>
    <row r="38" spans="1:25" x14ac:dyDescent="0.25">
      <c r="B38" t="s">
        <v>26</v>
      </c>
      <c r="F38" s="158">
        <v>3520</v>
      </c>
      <c r="G38" s="10"/>
      <c r="H38" s="30"/>
      <c r="J38" s="31">
        <v>3520</v>
      </c>
      <c r="K38" s="10"/>
      <c r="L38" s="10"/>
      <c r="M38" s="10"/>
      <c r="N38" s="87">
        <v>0</v>
      </c>
      <c r="O38" s="10"/>
      <c r="P38" s="10"/>
      <c r="Q38" s="10"/>
      <c r="R38" s="86">
        <v>75</v>
      </c>
      <c r="S38" s="10"/>
      <c r="T38" s="30"/>
      <c r="V38" s="12"/>
      <c r="W38" s="12"/>
      <c r="X38" s="90"/>
      <c r="Y38" s="12"/>
    </row>
    <row r="39" spans="1:25" x14ac:dyDescent="0.25">
      <c r="B39" t="s">
        <v>171</v>
      </c>
      <c r="F39" s="158">
        <v>4275</v>
      </c>
      <c r="G39" s="10"/>
      <c r="H39" s="30"/>
      <c r="J39" s="31">
        <v>4275</v>
      </c>
      <c r="K39" s="10"/>
      <c r="L39" s="10"/>
      <c r="M39" s="10"/>
      <c r="N39" s="87">
        <v>0</v>
      </c>
      <c r="O39" s="10"/>
      <c r="P39" s="10"/>
      <c r="Q39" s="10"/>
      <c r="R39" s="86">
        <v>0</v>
      </c>
      <c r="S39" s="10"/>
      <c r="T39" s="30"/>
      <c r="V39" s="12"/>
      <c r="W39" s="12"/>
      <c r="X39" s="90"/>
      <c r="Y39" s="12"/>
    </row>
    <row r="40" spans="1:25" x14ac:dyDescent="0.25">
      <c r="B40" t="s">
        <v>27</v>
      </c>
      <c r="F40" s="158">
        <v>13550</v>
      </c>
      <c r="G40" s="10"/>
      <c r="H40" s="30"/>
      <c r="J40" s="31">
        <v>13760</v>
      </c>
      <c r="K40" s="10"/>
      <c r="L40" s="10"/>
      <c r="M40" s="10"/>
      <c r="N40" s="87">
        <v>0</v>
      </c>
      <c r="O40" s="10"/>
      <c r="P40" s="10"/>
      <c r="Q40" s="10"/>
      <c r="R40" s="86">
        <v>500</v>
      </c>
      <c r="S40" s="10"/>
      <c r="T40" s="30"/>
      <c r="V40" s="12"/>
      <c r="W40" s="12"/>
      <c r="X40" s="90"/>
      <c r="Y40" s="12"/>
    </row>
    <row r="41" spans="1:25" x14ac:dyDescent="0.25">
      <c r="B41" t="s">
        <v>168</v>
      </c>
      <c r="F41" s="158">
        <v>1100</v>
      </c>
      <c r="G41" s="10"/>
      <c r="H41" s="30"/>
      <c r="J41" s="31">
        <v>1117</v>
      </c>
      <c r="K41" s="10"/>
      <c r="L41" s="10"/>
      <c r="M41" s="10"/>
      <c r="N41" s="87">
        <v>0</v>
      </c>
      <c r="O41" s="10"/>
      <c r="P41" s="10"/>
      <c r="Q41" s="10"/>
      <c r="R41" s="86">
        <v>0</v>
      </c>
      <c r="S41" s="10"/>
      <c r="T41" s="30"/>
      <c r="V41" s="12"/>
      <c r="W41" s="12"/>
      <c r="X41" s="90"/>
      <c r="Y41" s="12"/>
    </row>
    <row r="42" spans="1:25" x14ac:dyDescent="0.25">
      <c r="B42" t="s">
        <v>169</v>
      </c>
      <c r="F42" s="158">
        <v>3050</v>
      </c>
      <c r="G42" s="10"/>
      <c r="H42" s="30"/>
      <c r="J42" s="31">
        <v>3051</v>
      </c>
      <c r="K42" s="10"/>
      <c r="L42" s="10"/>
      <c r="M42" s="10"/>
      <c r="N42" s="87">
        <v>0</v>
      </c>
      <c r="O42" s="10"/>
      <c r="P42" s="10"/>
      <c r="Q42" s="10"/>
      <c r="R42" s="86">
        <v>0</v>
      </c>
      <c r="S42" s="10"/>
      <c r="T42" s="30"/>
      <c r="V42" s="12"/>
      <c r="W42" s="12"/>
      <c r="X42" s="90"/>
      <c r="Y42" s="12"/>
    </row>
    <row r="43" spans="1:25" x14ac:dyDescent="0.25">
      <c r="B43" t="s">
        <v>170</v>
      </c>
      <c r="F43" s="158">
        <v>5450</v>
      </c>
      <c r="G43" s="10"/>
      <c r="H43" s="30"/>
      <c r="J43" s="31">
        <v>5454</v>
      </c>
      <c r="K43" s="10"/>
      <c r="L43" s="10"/>
      <c r="M43" s="10"/>
      <c r="N43" s="87">
        <v>0</v>
      </c>
      <c r="O43" s="10"/>
      <c r="P43" s="10"/>
      <c r="Q43" s="10"/>
      <c r="R43" s="86">
        <v>0</v>
      </c>
      <c r="S43" s="10"/>
      <c r="T43" s="30"/>
      <c r="V43" s="12"/>
      <c r="W43" s="12"/>
      <c r="X43" s="90"/>
      <c r="Y43" s="12"/>
    </row>
    <row r="44" spans="1:25" x14ac:dyDescent="0.25">
      <c r="B44" t="s">
        <v>172</v>
      </c>
      <c r="F44" s="158">
        <v>3300</v>
      </c>
      <c r="G44" s="10"/>
      <c r="H44" s="30"/>
      <c r="J44" s="31">
        <v>3290</v>
      </c>
      <c r="K44" s="10"/>
      <c r="L44" s="10"/>
      <c r="M44" s="10"/>
      <c r="N44" s="87">
        <v>0</v>
      </c>
      <c r="O44" s="10"/>
      <c r="P44" s="10"/>
      <c r="Q44" s="10"/>
      <c r="R44" s="86">
        <v>0</v>
      </c>
      <c r="S44" s="10"/>
      <c r="T44" s="30"/>
      <c r="V44" s="12"/>
      <c r="W44" s="12"/>
      <c r="X44" s="90"/>
      <c r="Y44" s="12"/>
    </row>
    <row r="45" spans="1:25" x14ac:dyDescent="0.25">
      <c r="B45" t="s">
        <v>173</v>
      </c>
      <c r="F45" s="31">
        <f>IF(B7="N",0,'Sap Production'!E28+'Syrup Production'!E40+Sales!E28)</f>
        <v>90000</v>
      </c>
      <c r="G45" s="10"/>
      <c r="H45" s="34">
        <f>F45/F18</f>
        <v>0.16915782895324197</v>
      </c>
      <c r="J45" s="31">
        <f>IF($B$7="N",0,L9)</f>
        <v>90000</v>
      </c>
      <c r="K45" s="10"/>
      <c r="L45" s="89">
        <f>J45/J18</f>
        <v>0.1688872208669544</v>
      </c>
      <c r="M45" s="10"/>
      <c r="N45" s="86">
        <f>IF($B$7="N",0,P9)</f>
        <v>9</v>
      </c>
      <c r="O45" s="10"/>
      <c r="P45" s="89">
        <f>N45/N18</f>
        <v>0.09</v>
      </c>
      <c r="Q45" s="10"/>
      <c r="R45" s="86">
        <f>IF($B$7="N",0,T9)</f>
        <v>13200</v>
      </c>
      <c r="S45" s="10"/>
      <c r="T45" s="34">
        <f>R45/R18</f>
        <v>0.43802887008461927</v>
      </c>
      <c r="V45" s="12"/>
      <c r="W45" s="12"/>
      <c r="X45" s="110"/>
      <c r="Y45" s="12"/>
    </row>
    <row r="46" spans="1:25" x14ac:dyDescent="0.25">
      <c r="B46" t="s">
        <v>174</v>
      </c>
      <c r="F46" s="31">
        <f>IF(B8="N",0,'Sap Production'!E27+'Syrup Production'!E39+Sales!E27)</f>
        <v>99704.099999999991</v>
      </c>
      <c r="G46" s="10"/>
      <c r="H46" s="34">
        <f>F46/F18</f>
        <v>0.18739698993041035</v>
      </c>
      <c r="J46" s="31">
        <f>IF($B$8="N",0,L10)</f>
        <v>100575</v>
      </c>
      <c r="K46" s="10"/>
      <c r="L46" s="89">
        <f>J46/J18</f>
        <v>0.18873146931882154</v>
      </c>
      <c r="M46" s="10"/>
      <c r="N46" s="86">
        <f>IF($B$8="N",0,P10)</f>
        <v>10</v>
      </c>
      <c r="O46" s="10"/>
      <c r="P46" s="89">
        <f>N46/N18</f>
        <v>0.1</v>
      </c>
      <c r="Q46" s="10"/>
      <c r="R46" s="86">
        <f>IF($B$8="N",0,T10)</f>
        <v>0</v>
      </c>
      <c r="S46" s="10"/>
      <c r="T46" s="34">
        <f>R46/R18</f>
        <v>0</v>
      </c>
      <c r="V46" s="12"/>
      <c r="W46" s="12"/>
      <c r="X46" s="12"/>
      <c r="Y46" s="12"/>
    </row>
    <row r="47" spans="1:25" x14ac:dyDescent="0.25">
      <c r="B47" s="6" t="s">
        <v>28</v>
      </c>
      <c r="C47" s="6"/>
      <c r="D47" s="6"/>
      <c r="E47" s="6"/>
      <c r="F47" s="32">
        <f>'Sap Production'!E30</f>
        <v>550</v>
      </c>
      <c r="G47" s="10"/>
      <c r="H47" s="30"/>
      <c r="J47" s="31">
        <v>0</v>
      </c>
      <c r="K47" s="10"/>
      <c r="L47" s="10"/>
      <c r="M47" s="10"/>
      <c r="N47" s="87">
        <v>0</v>
      </c>
      <c r="O47" s="10"/>
      <c r="P47" s="10"/>
      <c r="Q47" s="10"/>
      <c r="R47" s="86">
        <v>400</v>
      </c>
      <c r="S47" s="10"/>
      <c r="T47" s="30"/>
      <c r="V47" s="12"/>
      <c r="W47" s="12"/>
      <c r="X47" s="12"/>
      <c r="Y47" s="12"/>
    </row>
    <row r="48" spans="1:25" x14ac:dyDescent="0.25">
      <c r="B48" s="9" t="s">
        <v>76</v>
      </c>
      <c r="C48" s="9"/>
      <c r="D48" s="9"/>
      <c r="E48" s="9"/>
      <c r="F48" s="36">
        <f>SUM(F32:F47)</f>
        <v>330188.09999999998</v>
      </c>
      <c r="G48" s="99"/>
      <c r="H48" s="102">
        <f>F48/F18</f>
        <v>0.62059891269106604</v>
      </c>
      <c r="J48" s="36">
        <f>SUM(J32:J47)</f>
        <v>330521</v>
      </c>
      <c r="K48" s="99"/>
      <c r="L48" s="100">
        <f>J48/J18</f>
        <v>0.62023081253518486</v>
      </c>
      <c r="M48" s="10"/>
      <c r="N48" s="88">
        <f>SUM(N32:N47)</f>
        <v>19</v>
      </c>
      <c r="O48" s="10"/>
      <c r="P48" s="89">
        <f>N48/N18</f>
        <v>0.19</v>
      </c>
      <c r="Q48" s="10"/>
      <c r="R48" s="101">
        <f>SUM(R32:R47)</f>
        <v>20275</v>
      </c>
      <c r="S48" s="99"/>
      <c r="T48" s="102">
        <f>R48/R18</f>
        <v>0.67280570764891334</v>
      </c>
      <c r="V48" s="12"/>
      <c r="W48" s="12"/>
      <c r="X48" s="12"/>
      <c r="Y48" s="12"/>
    </row>
    <row r="49" spans="1:20" x14ac:dyDescent="0.25">
      <c r="F49" s="35"/>
      <c r="G49" s="10"/>
      <c r="H49" s="30"/>
      <c r="J49" s="35"/>
      <c r="K49" s="10"/>
      <c r="L49" s="10"/>
      <c r="M49" s="10"/>
      <c r="N49" s="91"/>
      <c r="O49" s="10"/>
      <c r="P49" s="10"/>
      <c r="Q49" s="10"/>
      <c r="R49" s="91"/>
      <c r="S49" s="10"/>
      <c r="T49" s="30"/>
    </row>
    <row r="50" spans="1:20" ht="15.75" thickBot="1" x14ac:dyDescent="0.3">
      <c r="A50" s="3" t="s">
        <v>81</v>
      </c>
      <c r="B50" s="8" t="s">
        <v>77</v>
      </c>
      <c r="C50" s="7"/>
      <c r="D50" s="7"/>
      <c r="E50" s="7"/>
      <c r="F50" s="33">
        <f>F29-F48</f>
        <v>128399.25</v>
      </c>
      <c r="G50" s="99"/>
      <c r="H50" s="102">
        <f>F50/F18</f>
        <v>0.24133042632471724</v>
      </c>
      <c r="J50" s="36">
        <f>J29-J48</f>
        <v>128146</v>
      </c>
      <c r="K50" s="99"/>
      <c r="L50" s="100">
        <f>J50/J18</f>
        <v>0.24046913116907487</v>
      </c>
      <c r="M50" s="10"/>
      <c r="N50" s="88">
        <f>N29-N48</f>
        <v>81</v>
      </c>
      <c r="O50" s="10"/>
      <c r="P50" s="89">
        <f>N50/N18</f>
        <v>0.81</v>
      </c>
      <c r="Q50" s="10"/>
      <c r="R50" s="101">
        <f>R29-R48</f>
        <v>7293.9999999999964</v>
      </c>
      <c r="S50" s="99"/>
      <c r="T50" s="102">
        <f>R50/R18</f>
        <v>0.24204413472706146</v>
      </c>
    </row>
    <row r="51" spans="1:20" x14ac:dyDescent="0.25">
      <c r="F51" s="35"/>
      <c r="G51" s="10"/>
      <c r="H51" s="30"/>
      <c r="J51" s="35"/>
      <c r="K51" s="10"/>
      <c r="L51" s="10"/>
      <c r="M51" s="10"/>
      <c r="N51" s="91"/>
      <c r="O51" s="10"/>
      <c r="P51" s="10"/>
      <c r="Q51" s="10"/>
      <c r="R51" s="91"/>
      <c r="S51" s="10"/>
      <c r="T51" s="30"/>
    </row>
    <row r="52" spans="1:20" x14ac:dyDescent="0.25">
      <c r="B52" t="s">
        <v>80</v>
      </c>
      <c r="F52" s="31">
        <f>IF(B5="N",0,'Sap Production'!E31+'Syrup Production'!E42)</f>
        <v>39100</v>
      </c>
      <c r="G52" s="10"/>
      <c r="H52" s="30"/>
      <c r="J52" s="31">
        <f>IF($B$5="N",0,L11)</f>
        <v>39104</v>
      </c>
      <c r="K52" s="10"/>
      <c r="L52" s="10"/>
      <c r="M52" s="10"/>
      <c r="N52" s="87">
        <v>0</v>
      </c>
      <c r="O52" s="10"/>
      <c r="P52" s="10"/>
      <c r="Q52" s="10"/>
      <c r="R52" s="86">
        <f>IF($B$5="N",0,T11)</f>
        <v>0</v>
      </c>
      <c r="S52" s="10"/>
      <c r="T52" s="30"/>
    </row>
    <row r="53" spans="1:20" x14ac:dyDescent="0.25">
      <c r="B53" t="s">
        <v>78</v>
      </c>
      <c r="F53" s="31">
        <f>IF(B6="N",0,'Capital Costs'!F53)</f>
        <v>75540</v>
      </c>
      <c r="G53" s="10"/>
      <c r="H53" s="30"/>
      <c r="J53" s="31">
        <f>IF($B$6="N",0,L12)</f>
        <v>75540</v>
      </c>
      <c r="K53" s="10"/>
      <c r="L53" s="10"/>
      <c r="M53" s="10"/>
      <c r="N53" s="87">
        <v>0</v>
      </c>
      <c r="O53" s="10"/>
      <c r="P53" s="10"/>
      <c r="Q53" s="10"/>
      <c r="R53" s="86">
        <f>IF($B$6="N",0,T12)</f>
        <v>12005</v>
      </c>
      <c r="S53" s="10"/>
      <c r="T53" s="30"/>
    </row>
    <row r="54" spans="1:20" x14ac:dyDescent="0.25">
      <c r="F54" s="35"/>
      <c r="G54" s="10"/>
      <c r="H54" s="30"/>
      <c r="J54" s="35"/>
      <c r="K54" s="10"/>
      <c r="L54" s="10"/>
      <c r="M54" s="10"/>
      <c r="N54" s="91"/>
      <c r="O54" s="10"/>
      <c r="P54" s="10"/>
      <c r="Q54" s="10"/>
      <c r="R54" s="91"/>
      <c r="S54" s="10"/>
      <c r="T54" s="30"/>
    </row>
    <row r="55" spans="1:20" ht="15.75" thickBot="1" x14ac:dyDescent="0.3">
      <c r="A55" s="3" t="s">
        <v>82</v>
      </c>
      <c r="B55" s="8" t="s">
        <v>79</v>
      </c>
      <c r="C55" s="7"/>
      <c r="D55" s="7"/>
      <c r="E55" s="7"/>
      <c r="F55" s="33">
        <f>F50-F52-F53</f>
        <v>13759.25</v>
      </c>
      <c r="G55" s="7"/>
      <c r="H55" s="108">
        <f>F55/F18</f>
        <v>2.5860942866943272E-2</v>
      </c>
      <c r="J55" s="33">
        <f>J50-J52-J53</f>
        <v>13502</v>
      </c>
      <c r="K55" s="7"/>
      <c r="L55" s="109">
        <f>J55/J18</f>
        <v>2.533683617939576E-2</v>
      </c>
      <c r="M55" s="19"/>
      <c r="N55" s="98">
        <f>N50-N52-N53</f>
        <v>81</v>
      </c>
      <c r="O55" s="19"/>
      <c r="P55" s="97">
        <f>N55/N18</f>
        <v>0.81</v>
      </c>
      <c r="Q55" s="19"/>
      <c r="R55" s="104">
        <f>R50-R52-R53</f>
        <v>-4711.0000000000036</v>
      </c>
      <c r="S55" s="7"/>
      <c r="T55" s="108">
        <f>R55/R18</f>
        <v>-0.156329849012776</v>
      </c>
    </row>
  </sheetData>
  <phoneticPr fontId="4" type="noConversion"/>
  <conditionalFormatting sqref="H9">
    <cfRule type="expression" dxfId="1" priority="4">
      <formula>$H$9+$H$10+$H$11=1</formula>
    </cfRule>
  </conditionalFormatting>
  <conditionalFormatting sqref="H9:H11">
    <cfRule type="expression" dxfId="0" priority="3">
      <formula>$H$9+$H$10+$H$11=1</formula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F9AE9E2-A717-42DC-B584-C1B20F73903F}">
          <x14:formula1>
            <xm:f>Variables!$B$3:$B$4</xm:f>
          </x14:formula1>
          <xm:sqref>B5</xm:sqref>
        </x14:dataValidation>
        <x14:dataValidation type="list" allowBlank="1" showInputMessage="1" showErrorMessage="1" prompt="Select Y or N from the drop down list" xr:uid="{8DDE502A-98E8-4A1F-83E6-1FE8098C743B}">
          <x14:formula1>
            <xm:f>Variables!$B$3:$B$4</xm:f>
          </x14:formula1>
          <xm:sqref>B6:B8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76AA8-11A4-42DB-91C6-1D943E33AE04}">
  <dimension ref="K3:Q77"/>
  <sheetViews>
    <sheetView topLeftCell="A19" zoomScaleNormal="100" workbookViewId="0">
      <selection activeCell="S61" sqref="S61"/>
    </sheetView>
  </sheetViews>
  <sheetFormatPr defaultRowHeight="15" x14ac:dyDescent="0.25"/>
  <cols>
    <col min="11" max="11" width="17.85546875" style="5" customWidth="1"/>
    <col min="12" max="14" width="13.85546875" style="5" customWidth="1"/>
  </cols>
  <sheetData>
    <row r="3" spans="11:16" ht="15.75" thickBot="1" x14ac:dyDescent="0.3"/>
    <row r="4" spans="11:16" x14ac:dyDescent="0.25">
      <c r="K4" s="133"/>
      <c r="L4" s="77" t="s">
        <v>229</v>
      </c>
      <c r="M4" s="77" t="s">
        <v>217</v>
      </c>
      <c r="N4" s="78" t="s">
        <v>230</v>
      </c>
      <c r="P4" t="s">
        <v>233</v>
      </c>
    </row>
    <row r="5" spans="11:16" ht="15.75" thickBot="1" x14ac:dyDescent="0.3">
      <c r="K5" s="60" t="s">
        <v>180</v>
      </c>
      <c r="L5" s="20" t="s">
        <v>232</v>
      </c>
      <c r="M5" s="20" t="s">
        <v>232</v>
      </c>
      <c r="N5" s="61" t="s">
        <v>232</v>
      </c>
      <c r="P5" t="s">
        <v>234</v>
      </c>
    </row>
    <row r="6" spans="11:16" ht="9" customHeight="1" x14ac:dyDescent="0.25">
      <c r="K6" s="80"/>
      <c r="L6" s="159"/>
      <c r="M6" s="160"/>
      <c r="N6" s="161"/>
    </row>
    <row r="7" spans="11:16" x14ac:dyDescent="0.25">
      <c r="K7" s="80">
        <v>0.8</v>
      </c>
      <c r="L7" s="134">
        <v>-0.77300000000000002</v>
      </c>
      <c r="M7" s="134">
        <v>-0.34799999999999998</v>
      </c>
      <c r="N7" s="135">
        <v>-6.9000000000000006E-2</v>
      </c>
    </row>
    <row r="8" spans="11:16" x14ac:dyDescent="0.25">
      <c r="K8" s="80">
        <v>1</v>
      </c>
      <c r="L8" s="134">
        <v>-0.443</v>
      </c>
      <c r="M8" s="134">
        <v>-0.10199999999999999</v>
      </c>
      <c r="N8" s="135">
        <v>0.121</v>
      </c>
    </row>
    <row r="9" spans="11:16" x14ac:dyDescent="0.25">
      <c r="K9" s="80">
        <v>1.2</v>
      </c>
      <c r="L9" s="134">
        <v>-0.222</v>
      </c>
      <c r="M9" s="134">
        <v>6.0999999999999999E-2</v>
      </c>
      <c r="N9" s="135">
        <v>0.247</v>
      </c>
    </row>
    <row r="10" spans="11:16" x14ac:dyDescent="0.25">
      <c r="K10" s="80">
        <v>1.4</v>
      </c>
      <c r="L10" s="134">
        <v>-6.5000000000000002E-2</v>
      </c>
      <c r="M10" s="134">
        <v>0.17799999999999999</v>
      </c>
      <c r="N10" s="135">
        <v>0.33800000000000002</v>
      </c>
    </row>
    <row r="11" spans="11:16" x14ac:dyDescent="0.25">
      <c r="K11" s="80">
        <v>1.6</v>
      </c>
      <c r="L11" s="134">
        <v>5.2999999999999999E-2</v>
      </c>
      <c r="M11" s="134">
        <v>0.26600000000000001</v>
      </c>
      <c r="N11" s="135">
        <v>0.40600000000000003</v>
      </c>
    </row>
    <row r="12" spans="11:16" x14ac:dyDescent="0.25">
      <c r="K12" s="80">
        <v>1.8</v>
      </c>
      <c r="L12" s="134">
        <v>0.14499999999999999</v>
      </c>
      <c r="M12" s="134">
        <v>0.33400000000000002</v>
      </c>
      <c r="N12" s="135">
        <v>0.45800000000000002</v>
      </c>
    </row>
    <row r="13" spans="11:16" ht="15.75" thickBot="1" x14ac:dyDescent="0.3">
      <c r="K13" s="60">
        <v>2</v>
      </c>
      <c r="L13" s="136">
        <v>0.219</v>
      </c>
      <c r="M13" s="136">
        <v>0.38900000000000001</v>
      </c>
      <c r="N13" s="137">
        <v>0.501</v>
      </c>
    </row>
    <row r="18" spans="11:14" ht="15.75" thickBot="1" x14ac:dyDescent="0.3"/>
    <row r="19" spans="11:14" x14ac:dyDescent="0.25">
      <c r="K19" s="133"/>
      <c r="L19" s="77" t="s">
        <v>229</v>
      </c>
      <c r="M19" s="77" t="s">
        <v>217</v>
      </c>
      <c r="N19" s="78" t="s">
        <v>230</v>
      </c>
    </row>
    <row r="20" spans="11:14" ht="15.75" thickBot="1" x14ac:dyDescent="0.3">
      <c r="K20" s="60" t="s">
        <v>180</v>
      </c>
      <c r="L20" s="20" t="s">
        <v>232</v>
      </c>
      <c r="M20" s="20" t="s">
        <v>232</v>
      </c>
      <c r="N20" s="61" t="s">
        <v>232</v>
      </c>
    </row>
    <row r="21" spans="11:14" ht="12" customHeight="1" x14ac:dyDescent="0.25">
      <c r="K21" s="80"/>
      <c r="L21" s="159"/>
      <c r="M21" s="160"/>
      <c r="N21" s="161"/>
    </row>
    <row r="22" spans="11:14" x14ac:dyDescent="0.25">
      <c r="K22" s="80">
        <v>0.8</v>
      </c>
      <c r="L22" s="138">
        <v>-151000</v>
      </c>
      <c r="M22" s="138">
        <v>-129000</v>
      </c>
      <c r="N22" s="139">
        <v>-50000</v>
      </c>
    </row>
    <row r="23" spans="11:14" x14ac:dyDescent="0.25">
      <c r="K23" s="80">
        <v>1</v>
      </c>
      <c r="L23" s="138">
        <v>-108000</v>
      </c>
      <c r="M23" s="138">
        <v>-47000</v>
      </c>
      <c r="N23" s="139">
        <v>110000</v>
      </c>
    </row>
    <row r="24" spans="11:14" x14ac:dyDescent="0.25">
      <c r="K24" s="80">
        <v>1.2</v>
      </c>
      <c r="L24" s="138">
        <v>-65000</v>
      </c>
      <c r="M24" s="138">
        <v>34000</v>
      </c>
      <c r="N24" s="139">
        <v>271000</v>
      </c>
    </row>
    <row r="25" spans="11:14" x14ac:dyDescent="0.25">
      <c r="K25" s="80">
        <v>1.4</v>
      </c>
      <c r="L25" s="138">
        <v>-22000</v>
      </c>
      <c r="M25" s="138">
        <v>115000</v>
      </c>
      <c r="N25" s="139">
        <v>431000</v>
      </c>
    </row>
    <row r="26" spans="11:14" x14ac:dyDescent="0.25">
      <c r="K26" s="80">
        <v>1.6</v>
      </c>
      <c r="L26" s="138">
        <v>21000</v>
      </c>
      <c r="M26" s="138">
        <v>197000</v>
      </c>
      <c r="N26" s="139">
        <v>593000</v>
      </c>
    </row>
    <row r="27" spans="11:14" x14ac:dyDescent="0.25">
      <c r="K27" s="80">
        <v>1.8</v>
      </c>
      <c r="L27" s="138">
        <v>64000</v>
      </c>
      <c r="M27" s="138">
        <v>278000</v>
      </c>
      <c r="N27" s="139">
        <v>753000</v>
      </c>
    </row>
    <row r="28" spans="11:14" ht="15.75" thickBot="1" x14ac:dyDescent="0.3">
      <c r="K28" s="60">
        <v>2</v>
      </c>
      <c r="L28" s="140">
        <v>107000</v>
      </c>
      <c r="M28" s="140">
        <v>360000</v>
      </c>
      <c r="N28" s="141">
        <v>914000</v>
      </c>
    </row>
    <row r="36" spans="11:14" ht="15.75" thickBot="1" x14ac:dyDescent="0.3"/>
    <row r="37" spans="11:14" x14ac:dyDescent="0.25">
      <c r="K37" s="133"/>
      <c r="L37" s="77" t="s">
        <v>298</v>
      </c>
      <c r="M37" s="77" t="s">
        <v>299</v>
      </c>
      <c r="N37" s="78" t="s">
        <v>300</v>
      </c>
    </row>
    <row r="38" spans="11:14" ht="15.75" thickBot="1" x14ac:dyDescent="0.3">
      <c r="K38" s="60" t="s">
        <v>180</v>
      </c>
      <c r="L38" s="20" t="s">
        <v>232</v>
      </c>
      <c r="M38" s="20" t="s">
        <v>232</v>
      </c>
      <c r="N38" s="61" t="s">
        <v>232</v>
      </c>
    </row>
    <row r="39" spans="11:14" x14ac:dyDescent="0.25">
      <c r="K39" s="80"/>
      <c r="L39" s="159"/>
      <c r="M39" s="160"/>
      <c r="N39" s="161"/>
    </row>
    <row r="40" spans="11:14" x14ac:dyDescent="0.25">
      <c r="K40" s="80">
        <v>0.8</v>
      </c>
      <c r="L40" s="138">
        <v>-15000</v>
      </c>
      <c r="M40" s="138">
        <v>-3000</v>
      </c>
      <c r="N40" s="139">
        <v>3000</v>
      </c>
    </row>
    <row r="41" spans="11:14" x14ac:dyDescent="0.25">
      <c r="K41" s="80">
        <v>1</v>
      </c>
      <c r="L41" s="138">
        <v>-8000</v>
      </c>
      <c r="M41" s="138">
        <v>5000</v>
      </c>
      <c r="N41" s="139">
        <v>15000</v>
      </c>
    </row>
    <row r="42" spans="11:14" x14ac:dyDescent="0.25">
      <c r="K42" s="80">
        <v>1.2</v>
      </c>
      <c r="L42" s="138">
        <v>0</v>
      </c>
      <c r="M42" s="138">
        <v>13000</v>
      </c>
      <c r="N42" s="139">
        <v>26000</v>
      </c>
    </row>
    <row r="43" spans="11:14" x14ac:dyDescent="0.25">
      <c r="K43" s="80">
        <v>1.4</v>
      </c>
      <c r="L43" s="138">
        <v>7000</v>
      </c>
      <c r="M43" s="138">
        <v>21000</v>
      </c>
      <c r="N43" s="139">
        <v>37000</v>
      </c>
    </row>
    <row r="44" spans="11:14" x14ac:dyDescent="0.25">
      <c r="K44" s="80">
        <v>1.6</v>
      </c>
      <c r="L44" s="138">
        <v>10000</v>
      </c>
      <c r="M44" s="138">
        <v>29000</v>
      </c>
      <c r="N44" s="139">
        <v>48000</v>
      </c>
    </row>
    <row r="45" spans="11:14" x14ac:dyDescent="0.25">
      <c r="K45" s="80">
        <v>1.8</v>
      </c>
      <c r="L45" s="138">
        <v>15000</v>
      </c>
      <c r="M45" s="138">
        <v>36000</v>
      </c>
      <c r="N45" s="139">
        <v>60000</v>
      </c>
    </row>
    <row r="46" spans="11:14" ht="15.75" thickBot="1" x14ac:dyDescent="0.3">
      <c r="K46" s="60">
        <v>2</v>
      </c>
      <c r="L46" s="140">
        <v>18000</v>
      </c>
      <c r="M46" s="140">
        <v>44000</v>
      </c>
      <c r="N46" s="141">
        <v>70000</v>
      </c>
    </row>
    <row r="48" spans="11:14" x14ac:dyDescent="0.25">
      <c r="K48" s="5" t="s">
        <v>38</v>
      </c>
    </row>
    <row r="50" spans="11:16" x14ac:dyDescent="0.25">
      <c r="K50" s="13" t="s">
        <v>173</v>
      </c>
      <c r="L50" s="15">
        <v>19000</v>
      </c>
      <c r="M50" s="15">
        <v>26200</v>
      </c>
      <c r="N50" s="15">
        <v>30000</v>
      </c>
    </row>
    <row r="51" spans="11:16" x14ac:dyDescent="0.25">
      <c r="K51" s="13" t="s">
        <v>174</v>
      </c>
      <c r="L51" s="15">
        <v>7000</v>
      </c>
      <c r="M51" s="15">
        <v>9200</v>
      </c>
      <c r="N51" s="15">
        <v>14000</v>
      </c>
    </row>
    <row r="52" spans="11:16" x14ac:dyDescent="0.25">
      <c r="K52" s="13" t="s">
        <v>301</v>
      </c>
    </row>
    <row r="53" spans="11:16" x14ac:dyDescent="0.25">
      <c r="K53" s="162" t="s">
        <v>302</v>
      </c>
      <c r="L53" s="163"/>
      <c r="M53" s="163"/>
      <c r="N53" s="163"/>
      <c r="O53" s="164"/>
      <c r="P53" s="164"/>
    </row>
    <row r="54" spans="11:16" x14ac:dyDescent="0.25">
      <c r="K54" s="162" t="s">
        <v>303</v>
      </c>
      <c r="L54" s="163"/>
      <c r="M54" s="163"/>
      <c r="N54" s="163"/>
      <c r="O54" s="164"/>
      <c r="P54" s="164"/>
    </row>
    <row r="57" spans="11:16" ht="15.75" thickBot="1" x14ac:dyDescent="0.3"/>
    <row r="58" spans="11:16" x14ac:dyDescent="0.25">
      <c r="K58" s="133"/>
      <c r="L58" s="77" t="s">
        <v>298</v>
      </c>
      <c r="M58" s="77" t="s">
        <v>299</v>
      </c>
      <c r="N58" s="78" t="s">
        <v>300</v>
      </c>
    </row>
    <row r="59" spans="11:16" ht="15.75" thickBot="1" x14ac:dyDescent="0.3">
      <c r="K59" s="60" t="s">
        <v>180</v>
      </c>
      <c r="L59" s="20" t="s">
        <v>232</v>
      </c>
      <c r="M59" s="20" t="s">
        <v>232</v>
      </c>
      <c r="N59" s="61" t="s">
        <v>232</v>
      </c>
    </row>
    <row r="60" spans="11:16" x14ac:dyDescent="0.25">
      <c r="K60" s="80"/>
      <c r="L60" s="159"/>
      <c r="M60" s="160"/>
      <c r="N60" s="161"/>
    </row>
    <row r="61" spans="11:16" x14ac:dyDescent="0.25">
      <c r="K61" s="80">
        <v>0.8</v>
      </c>
      <c r="L61" s="134">
        <v>-0.44400000000000001</v>
      </c>
      <c r="M61" s="134">
        <v>-4.5999999999999999E-2</v>
      </c>
      <c r="N61" s="135">
        <v>3.4000000000000002E-2</v>
      </c>
    </row>
    <row r="62" spans="11:16" x14ac:dyDescent="0.25">
      <c r="K62" s="80">
        <v>1</v>
      </c>
      <c r="L62" s="134">
        <v>-0.17499999999999999</v>
      </c>
      <c r="M62" s="134">
        <v>7.2999999999999995E-2</v>
      </c>
      <c r="N62" s="135">
        <v>0.16</v>
      </c>
    </row>
    <row r="63" spans="11:16" x14ac:dyDescent="0.25">
      <c r="K63" s="80">
        <v>1.2</v>
      </c>
      <c r="L63" s="134">
        <v>5.0000000000000001E-3</v>
      </c>
      <c r="M63" s="134">
        <v>0.16400000000000001</v>
      </c>
      <c r="N63" s="135">
        <v>0.24</v>
      </c>
    </row>
    <row r="64" spans="11:16" x14ac:dyDescent="0.25">
      <c r="K64" s="80">
        <v>1.4</v>
      </c>
      <c r="L64" s="134">
        <v>0.114</v>
      </c>
      <c r="M64" s="134">
        <v>0.23300000000000001</v>
      </c>
      <c r="N64" s="135">
        <v>0.31</v>
      </c>
    </row>
    <row r="65" spans="11:17" x14ac:dyDescent="0.25">
      <c r="K65" s="80">
        <v>1.6</v>
      </c>
      <c r="L65" s="134">
        <v>0.16600000000000001</v>
      </c>
      <c r="M65" s="134">
        <v>0.29399999999999998</v>
      </c>
      <c r="N65" s="135">
        <v>0.36</v>
      </c>
    </row>
    <row r="66" spans="11:17" x14ac:dyDescent="0.25">
      <c r="K66" s="80">
        <v>1.8</v>
      </c>
      <c r="L66" s="134">
        <v>0.217</v>
      </c>
      <c r="M66" s="134">
        <v>0.34</v>
      </c>
      <c r="N66" s="135">
        <v>0.41</v>
      </c>
    </row>
    <row r="67" spans="11:17" ht="15.75" thickBot="1" x14ac:dyDescent="0.3">
      <c r="K67" s="60">
        <v>2</v>
      </c>
      <c r="L67" s="136">
        <v>0.25</v>
      </c>
      <c r="M67" s="136">
        <v>0.38</v>
      </c>
      <c r="N67" s="137">
        <v>0.44</v>
      </c>
    </row>
    <row r="69" spans="11:17" x14ac:dyDescent="0.25">
      <c r="K69" s="5" t="s">
        <v>38</v>
      </c>
    </row>
    <row r="71" spans="11:17" x14ac:dyDescent="0.25">
      <c r="K71" s="13" t="s">
        <v>173</v>
      </c>
      <c r="L71" s="15">
        <v>19000</v>
      </c>
      <c r="M71" s="15">
        <v>26200</v>
      </c>
      <c r="N71" s="15">
        <v>30000</v>
      </c>
    </row>
    <row r="72" spans="11:17" x14ac:dyDescent="0.25">
      <c r="K72" s="13" t="s">
        <v>174</v>
      </c>
      <c r="L72" s="15">
        <v>7000</v>
      </c>
      <c r="M72" s="15">
        <v>9200</v>
      </c>
      <c r="N72" s="15">
        <v>14000</v>
      </c>
    </row>
    <row r="73" spans="11:17" x14ac:dyDescent="0.25">
      <c r="K73" s="13" t="s">
        <v>302</v>
      </c>
    </row>
    <row r="74" spans="11:17" x14ac:dyDescent="0.25">
      <c r="K74" s="13" t="s">
        <v>303</v>
      </c>
    </row>
    <row r="75" spans="11:17" x14ac:dyDescent="0.25">
      <c r="K75" s="162" t="s">
        <v>301</v>
      </c>
      <c r="L75" s="163"/>
      <c r="M75" s="163"/>
      <c r="N75" s="163"/>
      <c r="O75" s="164"/>
      <c r="P75" s="164"/>
      <c r="Q75" s="164"/>
    </row>
    <row r="76" spans="11:17" x14ac:dyDescent="0.25">
      <c r="K76" s="162" t="s">
        <v>304</v>
      </c>
      <c r="L76" s="163"/>
      <c r="M76" s="163"/>
      <c r="N76" s="163"/>
      <c r="O76" s="164"/>
      <c r="P76" s="164"/>
      <c r="Q76" s="164"/>
    </row>
    <row r="77" spans="11:17" x14ac:dyDescent="0.25">
      <c r="K77" s="162" t="s">
        <v>305</v>
      </c>
      <c r="L77" s="163"/>
      <c r="M77" s="163"/>
      <c r="N77" s="163"/>
      <c r="O77" s="164"/>
      <c r="P77" s="164"/>
      <c r="Q77" s="164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A4605-56BE-4F95-AAC8-A25E842566D2}">
  <dimension ref="B2:J29"/>
  <sheetViews>
    <sheetView workbookViewId="0">
      <selection activeCell="O26" sqref="O26"/>
    </sheetView>
  </sheetViews>
  <sheetFormatPr defaultRowHeight="15" x14ac:dyDescent="0.25"/>
  <sheetData>
    <row r="2" spans="2:10" x14ac:dyDescent="0.25">
      <c r="B2" s="3" t="s">
        <v>140</v>
      </c>
      <c r="F2" s="3" t="s">
        <v>106</v>
      </c>
    </row>
    <row r="3" spans="2:10" x14ac:dyDescent="0.25">
      <c r="B3" t="s">
        <v>98</v>
      </c>
    </row>
    <row r="4" spans="2:10" x14ac:dyDescent="0.25">
      <c r="B4" t="s">
        <v>99</v>
      </c>
      <c r="F4" t="s">
        <v>145</v>
      </c>
      <c r="J4" t="s">
        <v>146</v>
      </c>
    </row>
    <row r="5" spans="2:10" x14ac:dyDescent="0.25">
      <c r="F5" t="s">
        <v>109</v>
      </c>
      <c r="J5" t="s">
        <v>107</v>
      </c>
    </row>
    <row r="6" spans="2:10" x14ac:dyDescent="0.25">
      <c r="F6" t="s">
        <v>110</v>
      </c>
      <c r="J6" t="s">
        <v>108</v>
      </c>
    </row>
    <row r="7" spans="2:10" x14ac:dyDescent="0.25">
      <c r="B7" t="s">
        <v>101</v>
      </c>
    </row>
    <row r="8" spans="2:10" x14ac:dyDescent="0.25">
      <c r="B8" t="s">
        <v>102</v>
      </c>
      <c r="F8" t="s">
        <v>184</v>
      </c>
    </row>
    <row r="9" spans="2:10" x14ac:dyDescent="0.25">
      <c r="B9" t="s">
        <v>103</v>
      </c>
    </row>
    <row r="10" spans="2:10" x14ac:dyDescent="0.25">
      <c r="F10" t="s">
        <v>111</v>
      </c>
      <c r="H10" t="s">
        <v>185</v>
      </c>
    </row>
    <row r="12" spans="2:10" x14ac:dyDescent="0.25">
      <c r="F12" t="s">
        <v>112</v>
      </c>
      <c r="G12" t="s">
        <v>113</v>
      </c>
    </row>
    <row r="13" spans="2:10" x14ac:dyDescent="0.25">
      <c r="B13" t="s">
        <v>104</v>
      </c>
      <c r="G13" t="s">
        <v>114</v>
      </c>
    </row>
    <row r="14" spans="2:10" x14ac:dyDescent="0.25">
      <c r="B14" t="s">
        <v>105</v>
      </c>
      <c r="G14" t="s">
        <v>115</v>
      </c>
    </row>
    <row r="16" spans="2:10" x14ac:dyDescent="0.25">
      <c r="G16" t="s">
        <v>186</v>
      </c>
    </row>
    <row r="17" spans="6:9" x14ac:dyDescent="0.25">
      <c r="G17" t="s">
        <v>187</v>
      </c>
    </row>
    <row r="20" spans="6:9" x14ac:dyDescent="0.25">
      <c r="F20" s="3" t="s">
        <v>120</v>
      </c>
    </row>
    <row r="22" spans="6:9" x14ac:dyDescent="0.25">
      <c r="F22" t="s">
        <v>121</v>
      </c>
    </row>
    <row r="25" spans="6:9" x14ac:dyDescent="0.25">
      <c r="F25" s="3" t="s">
        <v>209</v>
      </c>
    </row>
    <row r="27" spans="6:9" x14ac:dyDescent="0.25">
      <c r="F27" s="5">
        <v>1</v>
      </c>
      <c r="G27" t="s">
        <v>204</v>
      </c>
      <c r="H27" s="5">
        <v>11.1</v>
      </c>
      <c r="I27" t="s">
        <v>208</v>
      </c>
    </row>
    <row r="28" spans="6:9" x14ac:dyDescent="0.25">
      <c r="F28" s="5">
        <v>1</v>
      </c>
      <c r="G28" t="s">
        <v>207</v>
      </c>
      <c r="H28" s="5">
        <v>0.5</v>
      </c>
      <c r="I28" t="s">
        <v>205</v>
      </c>
    </row>
    <row r="29" spans="6:9" x14ac:dyDescent="0.25">
      <c r="F29" s="5">
        <v>1</v>
      </c>
      <c r="G29" t="s">
        <v>206</v>
      </c>
      <c r="H29" s="5">
        <v>2</v>
      </c>
      <c r="I29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Title Page</vt:lpstr>
      <vt:lpstr>Sap Production</vt:lpstr>
      <vt:lpstr>Syrup Production</vt:lpstr>
      <vt:lpstr>Sales</vt:lpstr>
      <vt:lpstr>Capital Costs</vt:lpstr>
      <vt:lpstr>Income Statement</vt:lpstr>
      <vt:lpstr>Graphs</vt:lpstr>
      <vt:lpstr>Variables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knudsen</dc:creator>
  <cp:lastModifiedBy>George Brook</cp:lastModifiedBy>
  <dcterms:created xsi:type="dcterms:W3CDTF">2021-11-12T15:07:32Z</dcterms:created>
  <dcterms:modified xsi:type="dcterms:W3CDTF">2022-02-28T20:33:08Z</dcterms:modified>
</cp:coreProperties>
</file>